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xwellpatterson/Desktop/Local Repository/Homework 1/"/>
    </mc:Choice>
  </mc:AlternateContent>
  <xr:revisionPtr revIDLastSave="0" documentId="13_ncr:1_{A31B8483-E6C4-1047-BDCB-955C6B6EDBF1}" xr6:coauthVersionLast="43" xr6:coauthVersionMax="43" xr10:uidLastSave="{00000000-0000-0000-0000-000000000000}"/>
  <bookViews>
    <workbookView xWindow="0" yWindow="0" windowWidth="28800" windowHeight="18000" activeTab="3" xr2:uid="{00000000-000D-0000-FFFF-FFFF00000000}"/>
  </bookViews>
  <sheets>
    <sheet name="Initial Data" sheetId="1" r:id="rId1"/>
    <sheet name="Pivot 1" sheetId="2" r:id="rId2"/>
    <sheet name="Pivot 2" sheetId="3" r:id="rId3"/>
    <sheet name="Pivot 3" sheetId="4" r:id="rId4"/>
    <sheet name="Bonus Data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5" l="1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3" i="5"/>
  <c r="B4" i="5"/>
  <c r="B5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<sst xmlns="http://schemas.openxmlformats.org/spreadsheetml/2006/main" count="24821" uniqueCount="8400">
  <si>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</si>
  <si>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</si>
  <si>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</si>
  <si>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</si>
  <si>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</si>
  <si>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</si>
  <si>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</si>
  <si>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</si>
  <si>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</si>
  <si>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</si>
  <si>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</si>
  <si>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</si>
  <si>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</si>
  <si>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</si>
  <si>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</si>
  <si>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</si>
  <si>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</si>
  <si>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</si>
  <si>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</si>
  <si>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</si>
  <si>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</si>
  <si>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</si>
  <si>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</si>
  <si>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</si>
  <si>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</si>
  <si>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</si>
  <si>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</si>
  <si>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</si>
  <si>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</si>
  <si>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</si>
  <si>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</si>
  <si>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</si>
  <si>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</si>
  <si>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</si>
  <si>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</si>
  <si>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</si>
  <si>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</si>
  <si>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</si>
  <si>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</si>
  <si>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</si>
  <si>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</si>
  <si>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</si>
  <si>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</si>
  <si>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</si>
  <si>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</si>
  <si>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</si>
  <si>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</si>
  <si>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</si>
  <si>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</si>
  <si>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</si>
  <si>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</si>
  <si>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</si>
  <si>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</si>
  <si>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</si>
  <si>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</si>
  <si>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</si>
  <si>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</si>
  <si>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</si>
  <si>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</si>
  <si>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</si>
  <si>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</si>
  <si>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</si>
  <si>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</si>
  <si>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</si>
  <si>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</si>
  <si>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</si>
  <si>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</si>
  <si>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</si>
  <si>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</si>
  <si>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</si>
  <si>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</si>
  <si>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</si>
  <si>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</si>
  <si>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</si>
  <si>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</si>
  <si>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</si>
  <si>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</si>
  <si>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</si>
  <si>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</si>
  <si>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</si>
  <si>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</si>
  <si>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</si>
  <si>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</si>
  <si>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</si>
  <si>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</si>
  <si>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</si>
  <si>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</si>
  <si>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</si>
  <si>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</si>
  <si>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</si>
  <si>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</si>
  <si>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</si>
  <si>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</si>
  <si>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</si>
  <si>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</si>
  <si>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</si>
  <si>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</si>
  <si>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</si>
  <si>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</si>
  <si>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</si>
  <si>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</si>
  <si>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</si>
  <si>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</si>
  <si>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</si>
  <si>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</si>
  <si>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</si>
  <si>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</si>
  <si>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</si>
  <si>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</si>
  <si>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</si>
  <si>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</si>
  <si>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</si>
  <si>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</si>
  <si>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</si>
  <si>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</si>
  <si>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</si>
  <si>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</si>
  <si>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</si>
  <si>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</si>
  <si>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</si>
  <si>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</si>
  <si>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</si>
  <si>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</si>
  <si>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</si>
  <si>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</si>
  <si>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</si>
  <si>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</si>
  <si>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</si>
  <si>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</si>
  <si>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</si>
  <si>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</si>
  <si>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</si>
  <si>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</si>
  <si>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</si>
  <si>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</si>
  <si>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</si>
  <si>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</si>
  <si>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</si>
  <si>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</si>
  <si>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</si>
  <si>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</si>
  <si>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</si>
  <si>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</si>
  <si>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</si>
  <si>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</si>
  <si>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</si>
  <si>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</si>
  <si>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</si>
  <si>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</si>
  <si>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</si>
  <si>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</si>
  <si>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</si>
  <si>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</si>
  <si>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</si>
  <si>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</si>
  <si>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</si>
  <si>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</si>
  <si>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</si>
  <si>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</si>
  <si>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</si>
  <si>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</si>
  <si>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</si>
  <si>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</si>
  <si>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</si>
  <si>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</si>
  <si>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</si>
  <si>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</si>
  <si>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</si>
  <si>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</si>
  <si>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</si>
  <si>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</si>
  <si>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</si>
  <si>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</si>
  <si>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</si>
  <si>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</si>
  <si>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</si>
  <si>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</si>
  <si>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</si>
  <si>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</si>
  <si>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</si>
  <si>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</si>
  <si>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</si>
  <si>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</si>
  <si>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</si>
  <si>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</si>
  <si>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</si>
  <si>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</si>
  <si>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</si>
  <si>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</si>
  <si>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</si>
  <si>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</si>
  <si>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</si>
  <si>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</si>
  <si>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</si>
  <si>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</si>
  <si>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</si>
  <si>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</si>
  <si>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</si>
  <si>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</si>
  <si>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</si>
  <si>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</si>
  <si>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</si>
  <si>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</si>
  <si>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</si>
  <si>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</si>
  <si>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</si>
  <si>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</si>
  <si>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</si>
  <si>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</si>
  <si>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</si>
  <si>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</si>
  <si>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</si>
  <si>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</si>
  <si>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</si>
  <si>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</si>
  <si>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</si>
  <si>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</si>
  <si>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</si>
  <si>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</si>
  <si>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</si>
  <si>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</si>
  <si>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</si>
  <si>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</si>
  <si>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</si>
  <si>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</si>
  <si>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</si>
  <si>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</si>
  <si>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</si>
  <si>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</si>
  <si>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</si>
  <si>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</si>
  <si>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</si>
  <si>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</si>
  <si>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</si>
  <si>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</si>
  <si>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</si>
  <si>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</si>
  <si>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</si>
  <si>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</si>
  <si>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</si>
  <si>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</si>
  <si>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</si>
  <si>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</si>
  <si>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</si>
  <si>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</si>
  <si>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</si>
  <si>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</si>
  <si>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</si>
  <si>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</si>
  <si>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</si>
  <si>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</si>
  <si>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</si>
  <si>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</si>
  <si>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</si>
  <si>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</si>
  <si>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</si>
  <si>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</si>
  <si>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</si>
  <si>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</si>
  <si>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</si>
  <si>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</si>
  <si>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</si>
  <si>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</si>
  <si>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</si>
  <si>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</si>
  <si>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</si>
  <si>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</si>
  <si>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</si>
  <si>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</si>
  <si>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</si>
  <si>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</si>
  <si>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</si>
  <si>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</si>
  <si>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</si>
  <si>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</si>
  <si>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</si>
  <si>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</si>
  <si>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</si>
  <si>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</si>
  <si>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</si>
  <si>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</si>
  <si>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</si>
  <si>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</si>
  <si>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</si>
  <si>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</si>
  <si>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</si>
  <si>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</si>
  <si>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</si>
  <si>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</si>
  <si>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</si>
  <si>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</si>
  <si>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</si>
  <si>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</si>
  <si>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</si>
  <si>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</si>
  <si>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</si>
  <si>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</si>
  <si>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</si>
  <si>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</si>
  <si>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</si>
  <si>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</si>
  <si>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</si>
  <si>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</si>
  <si>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</si>
  <si>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</si>
  <si>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</si>
  <si>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</si>
  <si>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</si>
  <si>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</si>
  <si>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</si>
  <si>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</si>
  <si>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</si>
  <si>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</si>
  <si>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</si>
  <si>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</si>
  <si>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</si>
  <si>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</si>
  <si>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</si>
  <si>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</si>
  <si>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</si>
  <si>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</si>
  <si>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</si>
  <si>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</si>
  <si>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</si>
  <si>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</si>
  <si>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</si>
  <si>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</si>
  <si>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</si>
  <si>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</si>
  <si>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</si>
  <si>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</si>
  <si>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</si>
  <si>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</si>
  <si>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</si>
  <si>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</si>
  <si>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</si>
  <si>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</si>
  <si>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</si>
  <si>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</si>
  <si>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</si>
  <si>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</si>
  <si>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</si>
  <si>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</si>
  <si>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</si>
  <si>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</si>
  <si>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</si>
  <si>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</si>
  <si>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</si>
  <si>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</si>
  <si>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</si>
  <si>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</si>
  <si>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</si>
  <si>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</si>
  <si>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</si>
  <si>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</si>
  <si>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</si>
  <si>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</si>
  <si>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</si>
  <si>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</si>
  <si>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</si>
  <si>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</si>
  <si>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</si>
  <si>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</si>
  <si>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</si>
  <si>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</si>
  <si>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</si>
  <si>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</si>
  <si>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</si>
  <si>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</si>
  <si>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</si>
  <si>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</si>
  <si>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</si>
  <si>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</si>
  <si>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</si>
  <si>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</si>
  <si>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</si>
  <si>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</si>
  <si>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</si>
  <si>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</si>
  <si>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</si>
  <si>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</si>
  <si>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</si>
  <si>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</si>
  <si>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</si>
  <si>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</si>
  <si>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</si>
  <si>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</si>
  <si>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</si>
  <si>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</si>
  <si>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</si>
  <si>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</si>
  <si>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</si>
  <si>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</si>
  <si>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</si>
  <si>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</si>
  <si>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</si>
  <si>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</si>
  <si>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</si>
  <si>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</si>
  <si>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</si>
  <si>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</si>
  <si>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</si>
  <si>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</si>
  <si>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</si>
  <si>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</si>
  <si>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</si>
  <si>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</si>
  <si>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</si>
  <si>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</si>
  <si>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</si>
  <si>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</si>
  <si>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</si>
  <si>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</si>
  <si>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</si>
  <si>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</si>
  <si>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</si>
  <si>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</si>
  <si>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</si>
  <si>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</si>
  <si>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</si>
  <si>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</si>
  <si>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</si>
  <si>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</si>
  <si>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</si>
  <si>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</si>
  <si>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</si>
  <si>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</si>
  <si>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</si>
  <si>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</si>
  <si>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</si>
  <si>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</si>
  <si>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</si>
  <si>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</si>
  <si>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</si>
  <si>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</si>
  <si>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</si>
  <si>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</si>
  <si>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</si>
  <si>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</si>
  <si>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</si>
  <si>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</si>
  <si>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</si>
  <si>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</si>
  <si>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</si>
  <si>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</si>
  <si>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</si>
  <si>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</si>
  <si>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</si>
  <si>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</si>
  <si>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</si>
  <si>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</si>
  <si>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</si>
  <si>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</si>
  <si>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</si>
  <si>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</si>
  <si>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</si>
  <si>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</si>
  <si>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</si>
  <si>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</si>
  <si>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</si>
  <si>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</si>
  <si>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</si>
  <si>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</si>
  <si>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</si>
  <si>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</si>
  <si>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</si>
  <si>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</si>
  <si>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</si>
  <si>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</si>
  <si>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</si>
  <si>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</si>
  <si>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</si>
  <si>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</si>
  <si>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</si>
  <si>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</si>
  <si>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</si>
  <si>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</si>
  <si>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</si>
  <si>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</si>
  <si>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</si>
  <si>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</si>
  <si>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</si>
  <si>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</si>
  <si>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</si>
  <si>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</si>
  <si>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</si>
  <si>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</si>
  <si>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</si>
  <si>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</si>
  <si>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</si>
  <si>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</si>
  <si>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</si>
  <si>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</si>
  <si>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</si>
  <si>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</si>
  <si>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</si>
  <si>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</si>
  <si>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</si>
  <si>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</si>
  <si>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</si>
  <si>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</si>
  <si>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</si>
  <si>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</si>
  <si>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</si>
  <si>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</si>
  <si>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</si>
  <si>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</si>
  <si>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</si>
  <si>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</si>
  <si>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</si>
  <si>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</si>
  <si>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</si>
  <si>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</si>
  <si>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</si>
  <si>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</si>
  <si>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</si>
  <si>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</si>
  <si>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</si>
  <si>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</si>
  <si>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</si>
  <si>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</si>
  <si>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</si>
  <si>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</si>
  <si>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</si>
  <si>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</si>
  <si>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</si>
  <si>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</si>
  <si>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</si>
  <si>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</si>
  <si>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</si>
  <si>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</si>
  <si>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</si>
  <si>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</si>
  <si>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</si>
  <si>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</si>
  <si>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</si>
  <si>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</si>
  <si>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</si>
  <si>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</si>
  <si>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</si>
  <si>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</si>
  <si>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</si>
  <si>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</si>
  <si>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</si>
  <si>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</si>
  <si>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</si>
  <si>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</si>
  <si>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</si>
  <si>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</si>
  <si>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</si>
  <si>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</si>
  <si>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</si>
  <si>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</si>
  <si>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</si>
  <si>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</si>
  <si>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</si>
  <si>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</si>
  <si>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</si>
  <si>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</si>
  <si>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</si>
  <si>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</si>
  <si>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</si>
  <si>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</si>
  <si>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</si>
  <si>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</si>
  <si>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</si>
  <si>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</si>
  <si>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</si>
  <si>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</si>
  <si>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</si>
  <si>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</si>
  <si>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</si>
  <si>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</si>
  <si>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</si>
  <si>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</si>
  <si>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</si>
  <si>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</si>
  <si>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</si>
  <si>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</si>
  <si>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</si>
  <si>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</si>
  <si>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</si>
  <si>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</si>
  <si>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</si>
  <si>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</si>
  <si>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</si>
  <si>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</si>
  <si>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</si>
  <si>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</si>
  <si>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</si>
  <si>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</si>
  <si>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</si>
  <si>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</si>
  <si>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</si>
  <si>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</si>
  <si>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</si>
  <si>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</si>
  <si>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</si>
  <si>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</si>
  <si>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</si>
  <si>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</si>
  <si>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</si>
  <si>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</si>
  <si>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</si>
  <si>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</si>
  <si>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</si>
  <si>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</si>
  <si>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</si>
  <si>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</si>
  <si>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</si>
  <si>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</si>
  <si>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</si>
  <si>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</si>
  <si>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</si>
  <si>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</si>
  <si>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</si>
  <si>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</si>
  <si>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</si>
  <si>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</si>
  <si>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</si>
  <si>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</si>
  <si>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</si>
  <si>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</si>
  <si>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</si>
  <si>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</si>
  <si>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</si>
  <si>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</si>
  <si>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</si>
  <si>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</si>
  <si>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</si>
  <si>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</si>
  <si>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</si>
  <si>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</si>
  <si>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</si>
  <si>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</si>
  <si>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</si>
  <si>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</si>
  <si>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</si>
  <si>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</si>
  <si>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</si>
  <si>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</si>
  <si>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</si>
  <si>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</si>
  <si>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</si>
  <si>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</si>
  <si>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</si>
  <si>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</si>
  <si>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</si>
  <si>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</si>
  <si>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</si>
  <si>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</si>
  <si>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</si>
  <si>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</si>
  <si>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</si>
  <si>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</si>
  <si>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</si>
  <si>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</si>
  <si>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</si>
  <si>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</si>
  <si>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</si>
  <si>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</si>
  <si>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</si>
  <si>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</si>
  <si>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</si>
  <si>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</si>
  <si>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</si>
  <si>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</si>
  <si>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</si>
  <si>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</si>
  <si>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</si>
  <si>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</si>
  <si>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</si>
  <si>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</si>
  <si>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</si>
  <si>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</si>
  <si>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</si>
  <si>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</si>
  <si>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</si>
  <si>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</si>
  <si>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</si>
  <si>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</si>
  <si>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</si>
  <si>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</si>
  <si>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</si>
  <si>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</si>
  <si>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</si>
  <si>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</si>
  <si>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</si>
  <si>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</si>
  <si>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</si>
  <si>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</si>
  <si>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</si>
  <si>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</si>
  <si>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</si>
  <si>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</si>
  <si>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</si>
  <si>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</si>
  <si>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</si>
  <si>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</si>
  <si>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</si>
  <si>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</si>
  <si>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</si>
  <si>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</si>
  <si>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</si>
  <si>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</si>
  <si>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</si>
  <si>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</si>
  <si>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</si>
  <si>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</si>
  <si>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</si>
  <si>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</si>
  <si>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</si>
  <si>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</si>
  <si>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</si>
  <si>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</si>
  <si>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</si>
  <si>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</si>
  <si>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</si>
  <si>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</si>
  <si>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</si>
  <si>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</si>
  <si>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</si>
  <si>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</si>
  <si>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</si>
  <si>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</si>
  <si>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</si>
  <si>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</si>
  <si>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</si>
  <si>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</si>
  <si>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</si>
  <si>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</si>
  <si>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</si>
  <si>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</si>
  <si>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</si>
  <si>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</si>
  <si>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</si>
  <si>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</si>
  <si>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</si>
  <si>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</si>
  <si>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</si>
  <si>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</si>
  <si>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</si>
  <si>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</si>
  <si>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</si>
  <si>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</si>
  <si>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</si>
  <si>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</si>
  <si>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</si>
  <si>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</si>
  <si>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</si>
  <si>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</si>
  <si>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</si>
  <si>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</si>
  <si>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</si>
  <si>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</si>
  <si>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</si>
  <si>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</si>
  <si>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</si>
  <si>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</si>
  <si>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</si>
  <si>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</si>
  <si>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</si>
  <si>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</si>
  <si>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</si>
  <si>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</si>
  <si>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</si>
  <si>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</si>
  <si>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</si>
  <si>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</si>
  <si>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</si>
  <si>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</si>
  <si>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</si>
  <si>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</si>
  <si>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</si>
  <si>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</si>
  <si>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</si>
  <si>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</si>
  <si>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</si>
  <si>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</si>
  <si>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</si>
  <si>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</si>
  <si>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</si>
  <si>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</si>
  <si>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</si>
  <si>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</si>
  <si>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</si>
  <si>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</si>
  <si>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</si>
  <si>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</si>
  <si>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</si>
  <si>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</si>
  <si>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</si>
  <si>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</si>
  <si>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</si>
  <si>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</si>
  <si>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</si>
  <si>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</si>
  <si>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</si>
  <si>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</si>
  <si>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</si>
  <si>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</si>
  <si>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</si>
  <si>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</si>
  <si>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</si>
  <si>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</si>
  <si>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</si>
  <si>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</si>
  <si>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</si>
  <si>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</si>
  <si>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</si>
  <si>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</si>
  <si>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</si>
  <si>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</si>
  <si>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</si>
  <si>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</si>
  <si>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</si>
  <si>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</si>
  <si>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</si>
  <si>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</si>
  <si>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</si>
  <si>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</si>
  <si>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</si>
  <si>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</si>
  <si>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</si>
  <si>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</si>
  <si>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</si>
  <si>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</si>
  <si>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</si>
  <si>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</si>
  <si>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</si>
  <si>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</si>
  <si>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</si>
  <si>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</si>
  <si>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</si>
  <si>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</si>
  <si>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</si>
  <si>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</si>
  <si>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</si>
  <si>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</si>
  <si>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</si>
  <si>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</si>
  <si>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</si>
  <si>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</si>
  <si>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</si>
  <si>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</si>
  <si>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</si>
  <si>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</si>
  <si>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</si>
  <si>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</si>
  <si>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</si>
  <si>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</si>
  <si>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</si>
  <si>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</si>
  <si>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</si>
  <si>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</si>
  <si>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</si>
  <si>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</si>
  <si>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</si>
  <si>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</si>
  <si>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</si>
  <si>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</si>
  <si>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</si>
  <si>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</si>
  <si>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</si>
  <si>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</si>
  <si>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</si>
  <si>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</si>
  <si>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</si>
  <si>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</si>
  <si>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</si>
  <si>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</si>
  <si>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</si>
  <si>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</si>
  <si>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</si>
  <si>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</si>
  <si>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</si>
  <si>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</si>
  <si>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</si>
  <si>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</si>
  <si>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</si>
  <si>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</si>
  <si>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</si>
  <si>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</si>
  <si>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</si>
  <si>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</si>
  <si>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</si>
  <si>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</si>
  <si>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</si>
  <si>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</si>
  <si>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</si>
  <si>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</si>
  <si>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</si>
  <si>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</si>
  <si>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</si>
  <si>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</si>
  <si>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</si>
  <si>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</si>
  <si>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</si>
  <si>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</si>
  <si>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</si>
  <si>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</si>
  <si>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</si>
  <si>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</si>
  <si>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</si>
  <si>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</si>
  <si>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</si>
  <si>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</si>
  <si>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</si>
  <si>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</si>
  <si>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</si>
  <si>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</si>
  <si>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</si>
  <si>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</si>
  <si>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</si>
  <si>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</si>
  <si>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</si>
  <si>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</si>
  <si>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</si>
  <si>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</si>
  <si>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</si>
  <si>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</si>
  <si>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</si>
  <si>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</si>
  <si>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</si>
  <si>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</si>
  <si>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</si>
  <si>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</si>
  <si>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</si>
  <si>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</si>
  <si>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</si>
  <si>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</si>
  <si>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</si>
  <si>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</si>
  <si>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</si>
  <si>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</si>
  <si>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</si>
  <si>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</si>
  <si>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</si>
  <si>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</si>
  <si>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</si>
  <si>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</si>
  <si>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</si>
  <si>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</si>
  <si>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</si>
  <si>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</si>
  <si>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</si>
  <si>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</si>
  <si>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</si>
  <si>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</si>
  <si>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</si>
  <si>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</si>
  <si>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</si>
  <si>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</si>
  <si>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</si>
  <si>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</si>
  <si>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</si>
  <si>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</si>
  <si>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</si>
  <si>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</si>
  <si>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</si>
  <si>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</si>
  <si>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</si>
  <si>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</si>
  <si>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</si>
  <si>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</si>
  <si>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</si>
  <si>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</si>
  <si>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</si>
  <si>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</si>
  <si>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</si>
  <si>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</si>
  <si>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</si>
  <si>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</si>
  <si>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</si>
  <si>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</si>
  <si>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</si>
  <si>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</si>
  <si>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</si>
  <si>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</si>
  <si>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</si>
  <si>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</si>
  <si>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</si>
  <si>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</si>
  <si>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</si>
  <si>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</si>
  <si>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</si>
  <si>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</si>
  <si>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</si>
  <si>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</si>
  <si>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</si>
  <si>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</si>
  <si>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</si>
  <si>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</si>
  <si>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</si>
  <si>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</si>
  <si>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</si>
  <si>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</si>
  <si>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</si>
  <si>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</si>
  <si>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</si>
  <si>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</si>
  <si>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</si>
  <si>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</si>
  <si>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</si>
  <si>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</si>
  <si>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</si>
  <si>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</si>
  <si>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</si>
  <si>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</si>
  <si>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</si>
  <si>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</si>
  <si>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</si>
  <si>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</si>
  <si>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</si>
  <si>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</si>
  <si>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</si>
  <si>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</si>
  <si>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</si>
  <si>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</si>
  <si>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</si>
  <si>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</si>
  <si>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</si>
  <si>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</si>
  <si>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</si>
  <si>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</si>
  <si>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</si>
  <si>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</si>
  <si>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</si>
  <si>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</si>
  <si>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</si>
  <si>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</si>
  <si>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</si>
  <si>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</si>
  <si>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</si>
  <si>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</si>
  <si>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</si>
  <si>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</si>
  <si>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</si>
  <si>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</si>
  <si>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</si>
  <si>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</si>
  <si>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</si>
  <si>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</si>
  <si>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</si>
  <si>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</si>
  <si>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</si>
  <si>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</si>
  <si>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</si>
  <si>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</si>
  <si>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</si>
  <si>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</si>
  <si>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</si>
  <si>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</si>
  <si>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</si>
  <si>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</si>
  <si>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</si>
  <si>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</si>
  <si>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</si>
  <si>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</si>
  <si>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</si>
  <si>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</si>
  <si>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</si>
  <si>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</si>
  <si>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</si>
  <si>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</si>
  <si>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</si>
  <si>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</si>
  <si>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</si>
  <si>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</si>
  <si>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</si>
  <si>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</si>
  <si>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</si>
  <si>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</si>
  <si>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</si>
  <si>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</si>
  <si>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</si>
  <si>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</si>
  <si>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</si>
  <si>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</si>
  <si>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</si>
  <si>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</si>
  <si>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</si>
  <si>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</si>
  <si>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</si>
  <si>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</si>
  <si>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</si>
  <si>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</si>
  <si>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</si>
  <si>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</si>
  <si>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</si>
  <si>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</si>
  <si>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</si>
  <si>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</si>
  <si>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</si>
  <si>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</si>
  <si>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</si>
  <si>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</si>
  <si>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</si>
  <si>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</si>
  <si>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</si>
  <si>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</si>
  <si>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</si>
  <si>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</si>
  <si>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</si>
  <si>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</si>
  <si>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</si>
  <si>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</si>
  <si>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</si>
  <si>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</si>
  <si>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</si>
  <si>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</si>
  <si>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</si>
  <si>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</si>
  <si>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</si>
  <si>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</si>
  <si>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</si>
  <si>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</si>
  <si>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</si>
  <si>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</si>
  <si>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</si>
  <si>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</si>
  <si>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</si>
  <si>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</si>
  <si>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</si>
  <si>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</si>
  <si>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</si>
  <si>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</si>
  <si>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</si>
  <si>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</si>
  <si>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</si>
  <si>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</si>
  <si>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</si>
  <si>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</si>
  <si>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</si>
  <si>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</si>
  <si>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</si>
  <si>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</si>
  <si>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</si>
  <si>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</si>
  <si>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</si>
  <si>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</si>
  <si>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</si>
  <si>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</si>
  <si>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</si>
  <si>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</si>
  <si>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</si>
  <si>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</si>
  <si>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</si>
  <si>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</si>
  <si>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</si>
  <si>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</si>
  <si>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</si>
  <si>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</si>
  <si>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</si>
  <si>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</si>
  <si>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</si>
  <si>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</si>
  <si>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</si>
  <si>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</si>
  <si>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</si>
  <si>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</si>
  <si>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</si>
  <si>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</si>
  <si>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</si>
  <si>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</si>
  <si>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</si>
  <si>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</si>
  <si>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</si>
  <si>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</si>
  <si>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</si>
  <si>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</si>
  <si>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</si>
  <si>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</si>
  <si>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</si>
  <si>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</si>
  <si>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</si>
  <si>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</si>
  <si>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</si>
  <si>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</si>
  <si>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</si>
  <si>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</si>
  <si>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</si>
  <si>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</si>
  <si>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</si>
  <si>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</si>
  <si>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</si>
  <si>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</si>
  <si>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</si>
  <si>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</si>
  <si>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</si>
  <si>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</si>
  <si>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</si>
  <si>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</si>
  <si>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</si>
  <si>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</si>
  <si>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</si>
  <si>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</si>
  <si>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</si>
  <si>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</si>
  <si>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</si>
  <si>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</si>
  <si>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</si>
  <si>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</si>
  <si>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</si>
  <si>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</si>
  <si>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</si>
  <si>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</si>
  <si>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</si>
  <si>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</si>
  <si>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</si>
  <si>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</si>
  <si>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</si>
  <si>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</si>
  <si>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</si>
  <si>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</si>
  <si>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</si>
  <si>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</si>
  <si>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</si>
  <si>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</si>
  <si>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</si>
  <si>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</si>
  <si>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</si>
  <si>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</si>
  <si>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</si>
  <si>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</si>
  <si>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</si>
  <si>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</si>
  <si>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</si>
  <si>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</si>
  <si>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</si>
  <si>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</si>
  <si>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</si>
  <si>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</si>
  <si>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</si>
  <si>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</si>
  <si>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</si>
  <si>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</si>
  <si>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</si>
  <si>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</si>
  <si>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</si>
  <si>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</si>
  <si>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</si>
  <si>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</si>
  <si>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</si>
  <si>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</si>
  <si>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</si>
  <si>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</si>
  <si>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</si>
  <si>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</si>
  <si>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</si>
  <si>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</si>
  <si>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</si>
  <si>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</si>
  <si>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</si>
  <si>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</si>
  <si>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</si>
  <si>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</si>
  <si>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</si>
  <si>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</si>
  <si>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</si>
  <si>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</si>
  <si>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</si>
  <si>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</si>
  <si>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</si>
  <si>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</si>
  <si>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</si>
  <si>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</si>
  <si>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</si>
  <si>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</si>
  <si>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</si>
  <si>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</si>
  <si>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</si>
  <si>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</si>
  <si>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</si>
  <si>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</si>
  <si>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</si>
  <si>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</si>
  <si>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</si>
  <si>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</si>
  <si>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</si>
  <si>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</si>
  <si>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</si>
  <si>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</si>
  <si>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</si>
  <si>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</si>
  <si>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</si>
  <si>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</si>
  <si>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</si>
  <si>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</si>
  <si>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</si>
  <si>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</si>
  <si>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</si>
  <si>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</si>
  <si>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</si>
  <si>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</si>
  <si>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</si>
  <si>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</si>
  <si>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</si>
  <si>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</si>
  <si>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</si>
  <si>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</si>
  <si>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</si>
  <si>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</si>
  <si>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</si>
  <si>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</si>
  <si>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</si>
  <si>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</si>
  <si>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</si>
  <si>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</si>
  <si>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</si>
  <si>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</si>
  <si>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</si>
  <si>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</si>
  <si>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</si>
  <si>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</si>
  <si>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</si>
  <si>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</si>
  <si>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</si>
  <si>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</si>
  <si>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</si>
  <si>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</si>
  <si>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</si>
  <si>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</si>
  <si>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</si>
  <si>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</si>
  <si>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</si>
  <si>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</si>
  <si>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</si>
  <si>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</si>
  <si>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</si>
  <si>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</si>
  <si>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</si>
  <si>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</si>
  <si>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</si>
  <si>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</si>
  <si>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</si>
  <si>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</si>
  <si>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</si>
  <si>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</si>
  <si>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</si>
  <si>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</si>
  <si>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</si>
  <si>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</si>
  <si>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</si>
  <si>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</si>
  <si>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</si>
  <si>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</si>
  <si>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</si>
  <si>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</si>
  <si>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</si>
  <si>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</si>
  <si>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</si>
  <si>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</si>
  <si>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</si>
  <si>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</si>
  <si>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</si>
  <si>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</si>
  <si>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</si>
  <si>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</si>
  <si>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</si>
  <si>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</si>
  <si>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</si>
  <si>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</si>
  <si>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</si>
  <si>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</si>
  <si>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</si>
  <si>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</si>
  <si>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</si>
  <si>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</si>
  <si>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</si>
  <si>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</si>
  <si>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</si>
  <si>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</si>
  <si>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</si>
  <si>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</si>
  <si>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</si>
  <si>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</si>
  <si>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</si>
  <si>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</si>
  <si>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</si>
  <si>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</si>
  <si>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</si>
  <si>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</si>
  <si>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</si>
  <si>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</si>
  <si>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</si>
  <si>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</si>
  <si>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</si>
  <si>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</si>
  <si>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</si>
  <si>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</si>
  <si>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</si>
  <si>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</si>
  <si>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</si>
  <si>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</si>
  <si>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</si>
  <si>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</si>
  <si>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</si>
  <si>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</si>
  <si>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</si>
  <si>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</si>
  <si>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</si>
  <si>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</si>
  <si>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</si>
  <si>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</si>
  <si>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</si>
  <si>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</si>
  <si>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</si>
  <si>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</si>
  <si>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</si>
  <si>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</si>
  <si>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</si>
  <si>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</si>
  <si>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</si>
  <si>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</si>
  <si>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</si>
  <si>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</si>
  <si>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</si>
  <si>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</si>
  <si>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</si>
  <si>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</si>
  <si>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</si>
  <si>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</si>
  <si>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</si>
  <si>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</si>
  <si>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</si>
  <si>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</si>
  <si>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</si>
  <si>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</si>
  <si>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</si>
  <si>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</si>
  <si>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</si>
  <si>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</si>
  <si>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</si>
  <si>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</si>
  <si>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</si>
  <si>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</si>
  <si>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</si>
  <si>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</si>
  <si>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</si>
  <si>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</si>
  <si>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</si>
  <si>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</si>
  <si>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</si>
  <si>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</si>
  <si>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</si>
  <si>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</si>
  <si>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</si>
  <si>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</si>
  <si>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</si>
  <si>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</si>
  <si>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</si>
  <si>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</si>
  <si>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</si>
  <si>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</si>
  <si>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</si>
  <si>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</si>
  <si>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</si>
  <si>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</si>
  <si>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</si>
  <si>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</si>
  <si>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</si>
  <si>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</si>
  <si>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</si>
  <si>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</si>
  <si>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</si>
  <si>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</si>
  <si>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</si>
  <si>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</si>
  <si>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</si>
  <si>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</si>
  <si>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</si>
  <si>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</si>
  <si>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</si>
  <si>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</si>
  <si>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</si>
  <si>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</si>
  <si>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</si>
  <si>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</si>
  <si>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</si>
  <si>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</si>
  <si>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</si>
  <si>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</si>
  <si>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</si>
  <si>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</si>
  <si>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</si>
  <si>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</si>
  <si>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</si>
  <si>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</si>
  <si>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</si>
  <si>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</si>
  <si>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</si>
  <si>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</si>
  <si>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</si>
  <si>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</si>
  <si>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</si>
  <si>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</si>
  <si>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</si>
  <si>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</si>
  <si>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</si>
  <si>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</si>
  <si>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</si>
  <si>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</si>
  <si>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</si>
  <si>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</si>
  <si>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</si>
  <si>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</si>
  <si>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</si>
  <si>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</si>
  <si>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</si>
  <si>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</si>
  <si>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</si>
  <si>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</si>
  <si>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</si>
  <si>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</si>
  <si>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</si>
  <si>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</si>
  <si>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</si>
  <si>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</si>
  <si>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</si>
  <si>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</si>
  <si>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</si>
  <si>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</si>
  <si>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</si>
  <si>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</si>
  <si>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</si>
  <si>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</si>
  <si>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</si>
  <si>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</si>
  <si>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</si>
  <si>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</si>
  <si>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</si>
  <si>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</si>
  <si>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</si>
  <si>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</si>
  <si>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</si>
  <si>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</si>
  <si>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</si>
  <si>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</si>
  <si>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</si>
  <si>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</si>
  <si>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</si>
  <si>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</si>
  <si>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</si>
  <si>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</si>
  <si>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</si>
  <si>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</si>
  <si>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</si>
  <si>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</si>
  <si>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</si>
  <si>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</si>
  <si>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</si>
  <si>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</si>
  <si>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</si>
  <si>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</si>
  <si>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</si>
  <si>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</si>
  <si>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</si>
  <si>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</si>
  <si>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</si>
  <si>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</si>
  <si>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</si>
  <si>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</si>
  <si>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</si>
  <si>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</si>
  <si>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</si>
  <si>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</si>
  <si>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</si>
  <si>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</si>
  <si>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</si>
  <si>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</si>
  <si>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</si>
  <si>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</si>
  <si>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</si>
  <si>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</si>
  <si>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</si>
  <si>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</si>
  <si>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</si>
  <si>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</si>
  <si>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</si>
  <si>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</si>
  <si>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</si>
  <si>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</si>
  <si>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</si>
  <si>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</si>
  <si>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</si>
  <si>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</si>
  <si>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</si>
  <si>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</si>
  <si>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</si>
  <si>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</si>
  <si>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</si>
  <si>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</si>
  <si>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</si>
  <si>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</si>
  <si>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</si>
  <si>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</si>
  <si>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</si>
  <si>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</si>
  <si>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</si>
  <si>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</si>
  <si>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</si>
  <si>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</si>
  <si>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</si>
  <si>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</si>
  <si>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</si>
  <si>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</si>
  <si>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</si>
  <si>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</si>
  <si>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</si>
  <si>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</si>
  <si>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</si>
  <si>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</si>
  <si>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</si>
  <si>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</si>
  <si>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</si>
  <si>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</si>
  <si>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</si>
  <si>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</si>
  <si>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</si>
  <si>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</si>
  <si>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</si>
  <si>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</si>
  <si>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</si>
  <si>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</si>
  <si>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</si>
  <si>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</si>
  <si>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</si>
  <si>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</si>
  <si>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</si>
  <si>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</si>
  <si>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</si>
  <si>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</si>
  <si>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</si>
  <si>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</si>
  <si>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</si>
  <si>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</si>
  <si>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</si>
  <si>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</si>
  <si>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</si>
  <si>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</si>
  <si>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</si>
  <si>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</si>
  <si>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</si>
  <si>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</si>
  <si>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</si>
  <si>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</si>
  <si>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</si>
  <si>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</si>
  <si>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</si>
  <si>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</si>
  <si>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</si>
  <si>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</si>
  <si>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</si>
  <si>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</si>
  <si>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</si>
  <si>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</si>
  <si>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</si>
  <si>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</si>
  <si>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</si>
  <si>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</si>
  <si>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</si>
  <si>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</si>
  <si>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</si>
  <si>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</si>
  <si>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</si>
  <si>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</si>
  <si>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</si>
  <si>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</si>
  <si>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</si>
  <si>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</si>
  <si>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</si>
  <si>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</si>
  <si>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</si>
  <si>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</si>
  <si>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</si>
  <si>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</si>
  <si>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</si>
  <si>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</si>
  <si>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</si>
  <si>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</si>
  <si>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</si>
  <si>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</si>
  <si>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</si>
  <si>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</si>
  <si>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</si>
  <si>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</si>
  <si>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</si>
  <si>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</si>
  <si>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</si>
  <si>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</si>
  <si>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</si>
  <si>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</si>
  <si>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</si>
  <si>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</si>
  <si>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</si>
  <si>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</si>
  <si>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</si>
  <si>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</si>
  <si>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</si>
  <si>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</si>
  <si>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</si>
  <si>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</si>
  <si>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</si>
  <si>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</si>
  <si>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</si>
  <si>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</si>
  <si>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</si>
  <si>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</si>
  <si>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</si>
  <si>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</si>
  <si>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</si>
  <si>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</si>
  <si>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</si>
  <si>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</si>
  <si>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</si>
  <si>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</si>
  <si>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</si>
  <si>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</si>
  <si>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</si>
  <si>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</si>
  <si>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</si>
  <si>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</si>
  <si>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</si>
  <si>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</si>
  <si>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</si>
  <si>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</si>
  <si>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</si>
  <si>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</si>
  <si>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</si>
  <si>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</si>
  <si>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</si>
  <si>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</si>
  <si>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</si>
  <si>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</si>
  <si>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</si>
  <si>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</si>
  <si>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</si>
  <si>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</si>
  <si>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</si>
  <si>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</si>
  <si>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</si>
  <si>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</si>
  <si>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</si>
  <si>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</si>
  <si>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</si>
  <si>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</si>
  <si>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</si>
  <si>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</si>
  <si>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</si>
  <si>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</si>
  <si>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</si>
  <si>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</si>
  <si>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</si>
  <si>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</si>
  <si>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</si>
  <si>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</si>
  <si>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</si>
  <si>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</si>
  <si>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</si>
  <si>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</si>
  <si>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</si>
  <si>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</si>
  <si>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</si>
  <si>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</si>
  <si>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</si>
  <si>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</si>
  <si>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</si>
  <si>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</si>
  <si>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</si>
  <si>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</si>
  <si>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</si>
  <si>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</si>
  <si>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</si>
  <si>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</si>
  <si>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</si>
  <si>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</si>
  <si>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</si>
  <si>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</si>
  <si>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</si>
  <si>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</si>
  <si>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</si>
  <si>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</si>
  <si>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</si>
  <si>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</si>
  <si>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</si>
  <si>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</si>
  <si>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</si>
  <si>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</si>
  <si>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</si>
  <si>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</si>
  <si>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</si>
  <si>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</si>
  <si>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</si>
  <si>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</si>
  <si>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</si>
  <si>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</si>
  <si>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</si>
  <si>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</si>
  <si>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</si>
  <si>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</si>
  <si>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</si>
  <si>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</si>
  <si>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</si>
  <si>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</si>
  <si>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</si>
  <si>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</si>
  <si>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</si>
  <si>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</si>
  <si>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</si>
  <si>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</si>
  <si>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</si>
  <si>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</si>
  <si>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</si>
  <si>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</si>
  <si>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</si>
  <si>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</si>
  <si>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</si>
  <si>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</si>
  <si>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</si>
  <si>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</si>
  <si>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</si>
  <si>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</si>
  <si>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</si>
  <si>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</si>
  <si>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</si>
  <si>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</si>
  <si>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</si>
  <si>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</si>
  <si>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</si>
  <si>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</si>
  <si>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</si>
  <si>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</si>
  <si>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</si>
  <si>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</si>
  <si>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</si>
  <si>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</si>
  <si>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</si>
  <si>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</si>
  <si>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</si>
  <si>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</si>
  <si>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</si>
  <si>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</si>
  <si>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</si>
  <si>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</si>
  <si>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</si>
  <si>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</si>
  <si>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</si>
  <si>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</si>
  <si>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</si>
  <si>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</si>
  <si>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</si>
  <si>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</si>
  <si>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</si>
  <si>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</si>
  <si>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</si>
  <si>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</si>
  <si>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</si>
  <si>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</si>
  <si>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</si>
  <si>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</si>
  <si>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</si>
  <si>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</si>
  <si>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</si>
  <si>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</si>
  <si>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</si>
  <si>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</si>
  <si>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</si>
  <si>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</si>
  <si>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</si>
  <si>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</si>
  <si>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</si>
  <si>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</si>
  <si>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</si>
  <si>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</si>
  <si>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</si>
  <si>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</si>
  <si>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</si>
  <si>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</si>
  <si>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</si>
  <si>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</si>
  <si>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</si>
  <si>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</si>
  <si>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</si>
  <si>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</si>
  <si>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</si>
  <si>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</si>
  <si>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</si>
  <si>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</si>
  <si>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</si>
  <si>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</si>
  <si>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</si>
  <si>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</si>
  <si>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</si>
  <si>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</si>
  <si>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</si>
  <si>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</si>
  <si>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</si>
  <si>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</si>
  <si>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</si>
  <si>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</si>
  <si>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</si>
  <si>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</si>
  <si>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</si>
  <si>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</si>
  <si>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</si>
  <si>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</si>
  <si>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</si>
  <si>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</si>
  <si>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</si>
  <si>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</si>
  <si>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</si>
  <si>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</si>
  <si>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</si>
  <si>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</si>
  <si>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</si>
  <si>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</si>
  <si>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</si>
  <si>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</si>
  <si>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</si>
  <si>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</si>
  <si>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</si>
  <si>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</si>
  <si>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</si>
  <si>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</si>
  <si>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</si>
  <si>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</si>
  <si>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</si>
  <si>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</si>
  <si>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</si>
  <si>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</si>
  <si>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</si>
  <si>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</si>
  <si>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</si>
  <si>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</si>
  <si>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</si>
  <si>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</si>
  <si>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</si>
  <si>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</si>
  <si>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</si>
  <si>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</si>
  <si>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</si>
  <si>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</si>
  <si>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</si>
  <si>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</si>
  <si>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</si>
  <si>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</si>
  <si>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</si>
  <si>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</si>
  <si>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</si>
  <si>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</si>
  <si>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</si>
  <si>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</si>
  <si>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</si>
  <si>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</si>
  <si>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</si>
  <si>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</si>
  <si>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</si>
  <si>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</si>
  <si>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</si>
  <si>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</si>
  <si>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</si>
  <si>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</si>
  <si>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</si>
  <si>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</si>
  <si>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</si>
  <si>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</si>
  <si>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</si>
  <si>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</si>
  <si>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</si>
  <si>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</si>
  <si>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</si>
  <si>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</si>
  <si>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</si>
  <si>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</si>
  <si>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</si>
  <si>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</si>
  <si>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</si>
  <si>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</si>
  <si>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</si>
  <si>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</si>
  <si>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</si>
  <si>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</si>
  <si>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</si>
  <si>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</si>
  <si>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</si>
  <si>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</si>
  <si>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</si>
  <si>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</si>
  <si>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</si>
  <si>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</si>
  <si>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</si>
  <si>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</si>
  <si>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</si>
  <si>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</si>
  <si>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</si>
  <si>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</si>
  <si>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</si>
  <si>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</si>
  <si>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</si>
  <si>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</si>
  <si>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</si>
  <si>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</si>
  <si>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</si>
  <si>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</si>
  <si>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</si>
  <si>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</si>
  <si>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</si>
  <si>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</si>
  <si>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</si>
  <si>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</si>
  <si>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</si>
  <si>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</si>
  <si>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</si>
  <si>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</si>
  <si>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</si>
  <si>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</si>
  <si>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</si>
  <si>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</si>
  <si>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</si>
  <si>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</si>
  <si>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</si>
  <si>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</si>
  <si>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</si>
  <si>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</si>
  <si>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</si>
  <si>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</si>
  <si>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</si>
  <si>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</si>
  <si>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</si>
  <si>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</si>
  <si>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</si>
  <si>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</si>
  <si>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</si>
  <si>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</si>
  <si>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</si>
  <si>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</si>
  <si>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</si>
  <si>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</si>
  <si>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</si>
  <si>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</si>
  <si>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</si>
  <si>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</si>
  <si>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</si>
  <si>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</si>
  <si>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</si>
  <si>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</si>
  <si>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</si>
  <si>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</si>
  <si>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</si>
  <si>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</si>
  <si>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</si>
  <si>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</si>
  <si>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</si>
  <si>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</si>
  <si>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</si>
  <si>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</si>
  <si>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</si>
  <si>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</si>
  <si>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</si>
  <si>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</si>
  <si>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</si>
  <si>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</si>
  <si>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</si>
  <si>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</si>
  <si>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</si>
  <si>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</si>
  <si>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</si>
  <si>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</si>
  <si>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</si>
  <si>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</si>
  <si>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</si>
  <si>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</si>
  <si>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</si>
  <si>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</si>
  <si>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</si>
  <si>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</si>
  <si>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</si>
  <si>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</si>
  <si>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</si>
  <si>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</si>
  <si>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</si>
  <si>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</si>
  <si>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</si>
  <si>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</si>
  <si>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</si>
  <si>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</si>
  <si>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</si>
  <si>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</si>
  <si>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</si>
  <si>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</si>
  <si>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</si>
  <si>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</si>
  <si>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</si>
  <si>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</si>
  <si>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</si>
  <si>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</si>
  <si>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</si>
  <si>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</si>
  <si>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</si>
  <si>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</si>
  <si>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</si>
  <si>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</si>
  <si>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</si>
  <si>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</si>
  <si>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</si>
  <si>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</si>
  <si>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</si>
  <si>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</si>
  <si>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</si>
  <si>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</si>
  <si>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</si>
  <si>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</si>
  <si>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</si>
  <si>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</si>
  <si>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</si>
  <si>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</si>
  <si>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</si>
  <si>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</si>
  <si>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</si>
  <si>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</si>
  <si>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</si>
  <si>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</si>
  <si>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</si>
  <si>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</si>
  <si>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</si>
  <si>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</si>
  <si>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</si>
  <si>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</si>
  <si>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</si>
  <si>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</si>
  <si>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</si>
  <si>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</si>
  <si>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</si>
  <si>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</si>
  <si>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</si>
  <si>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</si>
  <si>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</si>
  <si>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</si>
  <si>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</si>
  <si>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</si>
  <si>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</si>
  <si>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</si>
  <si>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</si>
  <si>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</si>
  <si>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</si>
  <si>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</si>
  <si>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</si>
  <si>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</si>
  <si>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</si>
  <si>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</si>
  <si>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</si>
  <si>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</si>
  <si>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</si>
  <si>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</si>
  <si>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</si>
  <si>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</si>
  <si>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</si>
  <si>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</si>
  <si>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</si>
  <si>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</si>
  <si>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</si>
  <si>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</si>
  <si>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</si>
  <si>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</si>
  <si>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</si>
  <si>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</si>
  <si>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</si>
  <si>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</si>
  <si>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</si>
  <si>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</si>
  <si>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</si>
  <si>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</si>
  <si>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</si>
  <si>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</si>
  <si>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</si>
  <si>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</si>
  <si>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</si>
  <si>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</si>
  <si>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</si>
  <si>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</si>
  <si>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</si>
  <si>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</si>
  <si>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</si>
  <si>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</si>
  <si>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</si>
  <si>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</si>
  <si>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</si>
  <si>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</si>
  <si>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</si>
  <si>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</si>
  <si>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</si>
  <si>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</si>
  <si>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</si>
  <si>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</si>
  <si>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</si>
  <si>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</si>
  <si>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</si>
  <si>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</si>
  <si>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</si>
  <si>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</si>
  <si>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</si>
  <si>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</si>
  <si>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</si>
  <si>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</si>
  <si>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</si>
  <si>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</si>
  <si>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</si>
  <si>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</si>
  <si>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</si>
  <si>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</si>
  <si>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</si>
  <si>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</si>
  <si>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</si>
  <si>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</si>
  <si>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</si>
  <si>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</si>
  <si>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</si>
  <si>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</si>
  <si>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</si>
  <si>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</si>
  <si>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</si>
  <si>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</si>
  <si>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</si>
  <si>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</si>
  <si>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</si>
  <si>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</si>
  <si>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</si>
  <si>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</si>
  <si>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</si>
  <si>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</si>
  <si>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</si>
  <si>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</si>
  <si>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</si>
  <si>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</si>
  <si>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</si>
  <si>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</si>
  <si>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</si>
  <si>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</si>
  <si>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</si>
  <si>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</si>
  <si>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</si>
  <si>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</si>
  <si>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</si>
  <si>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</si>
  <si>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</si>
  <si>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</si>
  <si>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</si>
  <si>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</si>
  <si>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</si>
  <si>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</si>
  <si>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</si>
  <si>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</si>
  <si>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</si>
  <si>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</si>
  <si>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</si>
  <si>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</si>
  <si>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</si>
  <si>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</si>
  <si>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</si>
  <si>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</si>
  <si>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</si>
  <si>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</si>
  <si>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</si>
  <si>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</si>
  <si>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</si>
  <si>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</si>
  <si>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</si>
  <si>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</si>
  <si>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</si>
  <si>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</si>
  <si>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</si>
  <si>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</si>
  <si>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</si>
  <si>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</si>
  <si>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</si>
  <si>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</si>
  <si>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</si>
  <si>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</si>
  <si>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</si>
  <si>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</si>
  <si>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</si>
  <si>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</si>
  <si>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</si>
  <si>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</si>
  <si>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</si>
  <si>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</si>
  <si>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</si>
  <si>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</si>
  <si>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</si>
  <si>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</si>
  <si>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</si>
  <si>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</si>
  <si>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</si>
  <si>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</si>
  <si>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</si>
  <si>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</si>
  <si>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</si>
  <si>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</si>
  <si>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</si>
  <si>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</si>
  <si>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</si>
  <si>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</si>
  <si>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</si>
  <si>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</si>
  <si>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</si>
  <si>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</si>
  <si>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</si>
  <si>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</si>
  <si>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</si>
  <si>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</si>
  <si>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</si>
  <si>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</si>
  <si>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</si>
  <si>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</si>
  <si>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</si>
  <si>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</si>
  <si>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</si>
  <si>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</si>
  <si>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</si>
  <si>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</si>
  <si>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</si>
  <si>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</si>
  <si>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</si>
  <si>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</si>
  <si>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</si>
  <si>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</si>
  <si>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</si>
  <si>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</si>
  <si>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</si>
  <si>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</si>
  <si>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</si>
  <si>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</si>
  <si>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</si>
  <si>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</si>
  <si>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</si>
  <si>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</si>
  <si>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</si>
  <si>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</si>
  <si>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</si>
  <si>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</si>
  <si>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</si>
  <si>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</si>
  <si>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</si>
  <si>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</si>
  <si>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</si>
  <si>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</si>
  <si>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</si>
  <si>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</si>
  <si>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</si>
  <si>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</si>
  <si>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</si>
  <si>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</si>
  <si>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</si>
  <si>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</si>
  <si>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</si>
  <si>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</si>
  <si>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</si>
  <si>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</si>
  <si>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</si>
  <si>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</si>
  <si>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</si>
  <si>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</si>
  <si>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</si>
  <si>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</si>
  <si>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</si>
  <si>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</si>
  <si>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</si>
  <si>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</si>
  <si>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</si>
  <si>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</si>
  <si>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</si>
  <si>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</si>
  <si>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</si>
  <si>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</si>
  <si>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</si>
  <si>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</si>
  <si>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</si>
  <si>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</si>
  <si>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</si>
  <si>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</si>
  <si>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</si>
  <si>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</si>
  <si>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</si>
  <si>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</si>
  <si>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</si>
  <si>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</si>
  <si>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</si>
  <si>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</si>
  <si>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</si>
  <si>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</si>
  <si>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</si>
  <si>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</si>
  <si>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</si>
  <si>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</si>
  <si>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</si>
  <si>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</si>
  <si>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</si>
  <si>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</si>
  <si>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</si>
  <si>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</si>
  <si>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</si>
  <si>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</si>
  <si>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</si>
  <si>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</si>
  <si>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</si>
  <si>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</si>
  <si>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</si>
  <si>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</si>
  <si>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</si>
  <si>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</si>
  <si>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</si>
  <si>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</si>
  <si>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</si>
  <si>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</si>
  <si>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</si>
  <si>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</si>
  <si>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</si>
  <si>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</si>
  <si>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</si>
  <si>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</si>
  <si>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</si>
  <si>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</si>
  <si>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</si>
  <si>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</si>
  <si>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</si>
  <si>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</si>
  <si>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</si>
  <si>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</si>
  <si>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</si>
  <si>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</si>
  <si>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</si>
  <si>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</si>
  <si>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</si>
  <si>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</si>
  <si>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</si>
  <si>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</si>
  <si>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</si>
  <si>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</si>
  <si>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</si>
  <si>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</si>
  <si>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</si>
  <si>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</si>
  <si>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</si>
  <si>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</si>
  <si>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</si>
  <si>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</si>
  <si>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</si>
  <si>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</si>
  <si>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</si>
  <si>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</si>
  <si>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</si>
  <si>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</si>
  <si>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</si>
  <si>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</si>
  <si>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</si>
  <si>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</si>
  <si>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</si>
  <si>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</si>
  <si>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</si>
  <si>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</si>
  <si>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</si>
  <si>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</si>
  <si>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</si>
  <si>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</si>
  <si>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</si>
  <si>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</si>
  <si>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</si>
  <si>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</si>
  <si>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</si>
  <si>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</si>
  <si>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</si>
  <si>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</si>
  <si>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</si>
  <si>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</si>
  <si>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</si>
  <si>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</si>
  <si>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</si>
  <si>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</si>
  <si>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</si>
  <si>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</si>
  <si>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</si>
  <si>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</si>
  <si>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</si>
  <si>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</si>
  <si>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</si>
  <si>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</si>
  <si>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</si>
  <si>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</si>
  <si>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</si>
  <si>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</si>
  <si>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</si>
  <si>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</si>
  <si>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</si>
  <si>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</si>
  <si>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</si>
  <si>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</si>
  <si>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</si>
  <si>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</si>
  <si>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</si>
  <si>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</si>
  <si>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</si>
  <si>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</si>
  <si>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</si>
  <si>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</si>
  <si>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</si>
  <si>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</si>
  <si>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</si>
  <si>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</si>
  <si>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</si>
  <si>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</si>
  <si>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</si>
  <si>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</si>
  <si>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</si>
  <si>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</si>
  <si>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</si>
  <si>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</si>
  <si>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</si>
  <si>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</si>
  <si>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</si>
  <si>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</si>
  <si>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</si>
  <si>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</si>
  <si>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</si>
  <si>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</si>
  <si>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</si>
  <si>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</si>
  <si>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</si>
  <si>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</si>
  <si>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</si>
  <si>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</si>
  <si>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</si>
  <si>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</si>
  <si>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</si>
  <si>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</si>
  <si>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</si>
  <si>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</si>
  <si>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</si>
  <si>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</si>
  <si>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</si>
  <si>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</si>
  <si>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</si>
  <si>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</si>
  <si>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</si>
  <si>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</si>
  <si>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</si>
  <si>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</si>
  <si>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</si>
  <si>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</si>
  <si>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</si>
  <si>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</si>
  <si>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</si>
  <si>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</si>
  <si>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</si>
  <si>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</si>
  <si>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</si>
  <si>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</si>
  <si>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</si>
  <si>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</si>
  <si>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</si>
  <si>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</si>
  <si>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</si>
  <si>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</si>
  <si>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</si>
  <si>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</si>
  <si>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</si>
  <si>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</si>
  <si>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</si>
  <si>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</si>
  <si>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</si>
  <si>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</si>
  <si>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</si>
  <si>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</si>
  <si>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</si>
  <si>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</si>
  <si>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</si>
  <si>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</si>
  <si>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</si>
  <si>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</si>
  <si>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</si>
  <si>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</si>
  <si>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</si>
  <si>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</si>
  <si>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</si>
  <si>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</si>
  <si>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</si>
  <si>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</si>
  <si>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</si>
  <si>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</si>
  <si>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</si>
  <si>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</si>
  <si>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</si>
  <si>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</si>
  <si>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</si>
  <si>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</si>
  <si>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</si>
  <si>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</si>
  <si>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</si>
  <si>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</si>
  <si>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</si>
  <si>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</si>
  <si>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</si>
  <si>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</si>
  <si>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</si>
  <si>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</si>
  <si>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</si>
  <si>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</si>
  <si>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</si>
  <si>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</si>
  <si>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</si>
  <si>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</si>
  <si>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</si>
  <si>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</si>
  <si>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</si>
  <si>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</si>
  <si>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</si>
  <si>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</si>
  <si>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</si>
  <si>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</si>
  <si>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</si>
  <si>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</si>
  <si>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</si>
  <si>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</si>
  <si>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</si>
  <si>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</si>
  <si>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</si>
  <si>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</si>
  <si>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</si>
  <si>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</si>
  <si>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</si>
  <si>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</si>
  <si>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</si>
  <si>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</si>
  <si>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</si>
  <si>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</si>
  <si>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</si>
  <si>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</si>
  <si>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</si>
  <si>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</si>
  <si>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</si>
  <si>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</si>
  <si>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</si>
  <si>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</si>
  <si>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</si>
  <si>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</si>
  <si>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</si>
  <si>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</si>
  <si>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</si>
  <si>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</si>
  <si>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</si>
  <si>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</si>
  <si>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</si>
  <si>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</si>
  <si>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</si>
  <si>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</si>
  <si>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</si>
  <si>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</si>
  <si>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</si>
  <si>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</si>
  <si>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</si>
  <si>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</si>
  <si>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</si>
  <si>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</si>
  <si>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</si>
  <si>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</si>
  <si>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</si>
  <si>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</si>
  <si>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</si>
  <si>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</si>
  <si>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</si>
  <si>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</si>
  <si>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</si>
  <si>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</si>
  <si>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</si>
  <si>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</si>
  <si>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</si>
  <si>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</si>
  <si>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</si>
  <si>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</si>
  <si>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</si>
  <si>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</si>
  <si>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</si>
  <si>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</si>
  <si>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</si>
  <si>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</si>
  <si>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</si>
  <si>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</si>
  <si>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</si>
  <si>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</si>
  <si>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</si>
  <si>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</si>
  <si>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</si>
  <si>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</si>
  <si>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</si>
  <si>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</si>
  <si>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</si>
  <si>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</si>
  <si>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</si>
  <si>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</si>
  <si>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</si>
  <si>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</si>
  <si>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</si>
  <si>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</si>
  <si>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</si>
  <si>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</si>
  <si>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</si>
  <si>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</si>
  <si>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</si>
  <si>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</si>
  <si>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</si>
  <si>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</si>
  <si>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</si>
  <si>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</si>
  <si>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</si>
  <si>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</si>
  <si>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</si>
  <si>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</si>
  <si>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</si>
  <si>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</si>
  <si>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</si>
  <si>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</si>
  <si>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</si>
  <si>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</si>
  <si>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</si>
  <si>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</si>
  <si>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</si>
  <si>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</si>
  <si>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</si>
  <si>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</si>
  <si>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</si>
  <si>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</si>
  <si>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</si>
  <si>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</si>
  <si>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</si>
  <si>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</si>
  <si>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</si>
  <si>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</si>
  <si>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</si>
  <si>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</si>
  <si>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</si>
  <si>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</si>
  <si>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</si>
  <si>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</si>
  <si>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</si>
  <si>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</si>
  <si>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</si>
  <si>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</si>
  <si>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</si>
  <si>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</si>
  <si>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</si>
  <si>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</si>
  <si>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</si>
  <si>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</si>
  <si>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</si>
  <si>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</si>
  <si>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</si>
  <si>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</si>
  <si>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</si>
  <si>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</si>
  <si>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</si>
  <si>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</si>
  <si>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</si>
  <si>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</si>
  <si>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</si>
  <si>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</si>
  <si>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</si>
  <si>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</si>
  <si>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</si>
  <si>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</si>
  <si>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</si>
  <si>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</si>
  <si>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</si>
  <si>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</si>
  <si>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</si>
  <si>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</si>
  <si>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</si>
  <si>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</si>
  <si>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</si>
  <si>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</si>
  <si>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</si>
  <si>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</si>
  <si>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</si>
  <si>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</si>
  <si>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</si>
  <si>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</si>
  <si>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</si>
  <si>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</si>
  <si>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</si>
  <si>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</si>
  <si>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</si>
  <si>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</si>
  <si>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</si>
  <si>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</si>
  <si>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</si>
  <si>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</si>
  <si>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</si>
  <si>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</si>
  <si>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</si>
  <si>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</si>
  <si>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</si>
  <si>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</si>
  <si>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</si>
  <si>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</si>
  <si>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</si>
  <si>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</si>
  <si>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</si>
  <si>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</si>
  <si>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</si>
  <si>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</si>
  <si>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</si>
  <si>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</si>
  <si>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</si>
  <si>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</si>
  <si>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</si>
  <si>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</si>
  <si>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</si>
  <si>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</si>
  <si>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</si>
  <si>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</si>
  <si>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</si>
  <si>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</si>
  <si>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</si>
  <si>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</si>
  <si>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</si>
  <si>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</si>
  <si>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</si>
  <si>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</si>
  <si>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</si>
  <si>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</si>
  <si>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</si>
  <si>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</si>
  <si>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</si>
  <si>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</si>
  <si>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</si>
  <si>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</si>
  <si>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</si>
  <si>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</si>
  <si>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</si>
  <si>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</si>
  <si>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</si>
  <si>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</si>
  <si>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</si>
  <si>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</si>
  <si>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</si>
  <si>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</si>
  <si>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</si>
  <si>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</si>
  <si>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</si>
  <si>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</si>
  <si>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</si>
  <si>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</si>
  <si>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</si>
  <si>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</si>
  <si>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</si>
  <si>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</si>
  <si>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</si>
  <si>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</si>
  <si>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</si>
  <si>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</si>
  <si>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</si>
  <si>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</si>
  <si>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</si>
  <si>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</si>
  <si>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</si>
  <si>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</si>
  <si>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</si>
  <si>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</si>
  <si>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</si>
  <si>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</si>
  <si>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</si>
  <si>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</si>
  <si>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</si>
  <si>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</si>
  <si>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</si>
  <si>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</si>
  <si>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</si>
  <si>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</si>
  <si>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</si>
  <si>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</si>
  <si>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</si>
  <si>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</si>
  <si>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</si>
  <si>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</si>
  <si>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</si>
  <si>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</si>
  <si>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</si>
  <si>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</si>
  <si>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</si>
  <si>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</si>
  <si>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</si>
  <si>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</si>
  <si>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</si>
  <si>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</si>
  <si>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</si>
  <si>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</si>
  <si>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</si>
  <si>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</si>
  <si>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</si>
  <si>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</si>
  <si>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</si>
  <si>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</si>
  <si>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</si>
  <si>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</si>
  <si>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</si>
  <si>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</si>
  <si>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</si>
  <si>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</si>
  <si>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</si>
  <si>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</si>
  <si>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</si>
  <si>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</si>
  <si>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</si>
  <si>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</si>
  <si>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</si>
  <si>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</si>
  <si>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</si>
  <si>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</si>
  <si>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</si>
  <si>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</si>
  <si>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</si>
  <si>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</si>
  <si>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</si>
  <si>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</si>
  <si>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</si>
  <si>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</si>
  <si>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</si>
  <si>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</si>
  <si>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</si>
  <si>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</si>
  <si>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</si>
  <si>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</si>
  <si>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</si>
  <si>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</si>
  <si>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</si>
  <si>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</si>
  <si>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</si>
  <si>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</si>
  <si>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</si>
  <si>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</si>
  <si>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</si>
  <si>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</si>
  <si>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</si>
  <si>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</si>
  <si>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</si>
  <si>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</si>
  <si>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</si>
  <si>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</si>
  <si>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</si>
  <si>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</si>
  <si>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</si>
  <si>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</si>
  <si>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</si>
  <si>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</si>
  <si>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</si>
  <si>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</si>
  <si>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</si>
  <si>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</si>
  <si>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</si>
  <si>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</si>
  <si>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</si>
  <si>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</si>
  <si>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</si>
  <si>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</si>
  <si>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</si>
  <si>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</si>
  <si>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</si>
  <si>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</si>
  <si>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</si>
  <si>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</si>
  <si>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</si>
  <si>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</si>
  <si>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</si>
  <si>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</si>
  <si>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</si>
  <si>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</si>
  <si>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</si>
  <si>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</si>
  <si>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</si>
  <si>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</si>
  <si>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</si>
  <si>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</si>
  <si>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</si>
  <si>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</si>
  <si>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</si>
  <si>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</si>
  <si>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</si>
  <si>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</si>
  <si>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</si>
  <si>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</si>
  <si>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</si>
  <si>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</si>
  <si>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</si>
  <si>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</si>
  <si>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</si>
  <si>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</si>
  <si>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</si>
  <si>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</si>
  <si>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</si>
  <si>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</si>
  <si>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</si>
  <si>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</si>
  <si>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</si>
  <si>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</si>
  <si>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</si>
  <si>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</si>
  <si>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</si>
  <si>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</si>
  <si>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</si>
  <si>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</si>
  <si>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</si>
  <si>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</si>
  <si>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</si>
  <si>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</si>
  <si>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</si>
  <si>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</si>
  <si>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</si>
  <si>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</si>
  <si>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</si>
  <si>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</si>
  <si>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</si>
  <si>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</si>
  <si>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</si>
  <si>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</si>
  <si>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</si>
  <si>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</si>
  <si>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</si>
  <si>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</si>
  <si>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</si>
  <si>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</si>
  <si>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</si>
  <si>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</si>
  <si>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</si>
  <si>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</si>
  <si>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</si>
  <si>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</si>
  <si>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</si>
  <si>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</si>
  <si>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</si>
  <si>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</si>
  <si>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</si>
  <si>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</si>
  <si>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</si>
  <si>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</si>
  <si>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</si>
  <si>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</si>
  <si>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</si>
  <si>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</si>
  <si>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</si>
  <si>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</si>
  <si>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</si>
  <si>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</si>
  <si>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</si>
  <si>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</si>
  <si>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</si>
  <si>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</si>
  <si>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</si>
  <si>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</si>
  <si>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</si>
  <si>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</si>
  <si>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</si>
  <si>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</si>
  <si>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</si>
  <si>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</si>
  <si>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</si>
  <si>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</si>
  <si>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</si>
  <si>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</si>
  <si>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</si>
  <si>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</si>
  <si>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</si>
  <si>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</si>
  <si>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</si>
  <si>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</si>
  <si>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</si>
  <si>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</si>
  <si>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</si>
  <si>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</si>
  <si>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</si>
  <si>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</si>
  <si>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</si>
  <si>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</si>
  <si>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</si>
  <si>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</si>
  <si>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</si>
  <si>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</si>
  <si>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</si>
  <si>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</si>
  <si>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</si>
  <si>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</si>
  <si>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</si>
  <si>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</si>
  <si>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</si>
  <si>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</si>
  <si>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</si>
  <si>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</si>
  <si>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</si>
  <si>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</si>
  <si>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</si>
  <si>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</si>
  <si>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</si>
  <si>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</si>
  <si>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</si>
  <si>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</si>
  <si>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</si>
  <si>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</si>
  <si>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</si>
  <si>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</si>
  <si>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</si>
  <si>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</si>
  <si>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</si>
  <si>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</si>
  <si>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</si>
  <si>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</si>
  <si>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</si>
  <si>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</si>
  <si>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</si>
  <si>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</si>
  <si>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</si>
  <si>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</si>
  <si>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</si>
  <si>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</si>
  <si>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</si>
  <si>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</si>
  <si>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</si>
  <si>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</si>
  <si>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</si>
  <si>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</si>
  <si>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</si>
  <si>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</si>
  <si>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</si>
  <si>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</si>
  <si>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</si>
  <si>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</si>
  <si>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</si>
  <si>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</si>
  <si>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</si>
  <si>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</si>
  <si>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</si>
  <si>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</si>
  <si>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</si>
  <si>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</si>
  <si>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</si>
  <si>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</si>
  <si>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</si>
  <si>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</si>
  <si>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</si>
  <si>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</si>
  <si>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</si>
  <si>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</si>
  <si>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</si>
  <si>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</si>
  <si>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</si>
  <si>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</si>
  <si>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</si>
  <si>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</si>
  <si>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</si>
  <si>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</si>
  <si>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</si>
  <si>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</si>
  <si>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</si>
  <si>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</si>
  <si>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</si>
  <si>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</si>
  <si>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</si>
  <si>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</si>
  <si>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</si>
  <si>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</si>
  <si>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</si>
  <si>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</si>
  <si>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</si>
  <si>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</si>
  <si>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</si>
  <si>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</si>
  <si>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</si>
  <si>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</si>
  <si>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</si>
  <si>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</si>
  <si>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</si>
  <si>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</si>
  <si>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</si>
  <si>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</si>
  <si>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</si>
  <si>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</si>
  <si>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</si>
  <si>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</si>
  <si>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</si>
  <si>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</si>
  <si>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</si>
  <si>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</si>
  <si>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</si>
  <si>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</si>
  <si>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</si>
  <si>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</si>
  <si>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</si>
  <si>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</si>
  <si>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</si>
  <si>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</si>
  <si>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</si>
  <si>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</si>
  <si>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</si>
  <si>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</si>
  <si>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</si>
  <si>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</si>
  <si>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</si>
  <si>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</si>
  <si>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</si>
  <si>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</si>
  <si>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</si>
  <si>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</si>
  <si>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</si>
  <si>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</si>
  <si>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</si>
  <si>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</si>
  <si>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</si>
  <si>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</si>
  <si>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</si>
  <si>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</si>
  <si>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</si>
  <si>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</si>
  <si>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</si>
  <si>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</si>
  <si>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</si>
  <si>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</si>
  <si>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</si>
  <si>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</si>
  <si>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</si>
  <si>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</si>
  <si>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</si>
  <si>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</si>
  <si>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</si>
  <si>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</si>
  <si>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</si>
  <si>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</si>
  <si>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</si>
  <si>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</si>
  <si>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</si>
  <si>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</si>
  <si>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</si>
  <si>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</si>
  <si>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</si>
  <si>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</si>
  <si>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</si>
  <si>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</si>
  <si>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</si>
  <si>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</si>
  <si>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</si>
  <si>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</si>
  <si>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</si>
  <si>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</si>
  <si>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</si>
  <si>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</si>
  <si>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</si>
  <si>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</si>
  <si>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</si>
  <si>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</si>
  <si>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</si>
  <si>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</si>
  <si>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</si>
  <si>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</si>
  <si>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</si>
  <si>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</si>
  <si>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</si>
  <si>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</si>
  <si>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</si>
  <si>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</si>
  <si>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</si>
  <si>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</si>
  <si>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</si>
  <si>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</si>
  <si>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</si>
  <si>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</si>
  <si>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</si>
  <si>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</si>
  <si>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</si>
  <si>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</si>
  <si>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</si>
  <si>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</si>
  <si>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</si>
  <si>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</si>
  <si>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</si>
  <si>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</si>
  <si>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</si>
  <si>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</si>
  <si>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</si>
  <si>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</si>
  <si>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</si>
  <si>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</si>
  <si>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</si>
  <si>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</si>
  <si>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</si>
  <si>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</si>
  <si>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</si>
  <si>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</si>
  <si>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</si>
  <si>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</si>
  <si>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</si>
  <si>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</si>
  <si>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</si>
  <si>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</si>
  <si>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</si>
  <si>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</si>
  <si>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</si>
  <si>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</si>
  <si>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</si>
  <si>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</si>
  <si>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</si>
  <si>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</si>
  <si>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</si>
  <si>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</si>
  <si>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</si>
  <si>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</si>
  <si>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</si>
  <si>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</si>
  <si>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</si>
  <si>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</si>
  <si>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</si>
  <si>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</si>
  <si>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</si>
  <si>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</si>
  <si>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</si>
  <si>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</si>
  <si>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</si>
  <si>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</si>
  <si>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</si>
  <si>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</si>
  <si>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</si>
  <si>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</si>
  <si>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</si>
  <si>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</si>
  <si>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</si>
  <si>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</si>
  <si>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</si>
  <si>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</si>
  <si>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</si>
  <si>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</si>
  <si>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</si>
  <si>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</si>
  <si>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</si>
  <si>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</si>
  <si>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</si>
  <si>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</si>
  <si>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</si>
  <si>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</si>
  <si>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</si>
  <si>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</si>
  <si>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</si>
  <si>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</si>
  <si>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</si>
  <si>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</si>
  <si>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</si>
  <si>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</si>
  <si>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</si>
  <si>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</si>
  <si>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</si>
  <si>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</si>
  <si>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</si>
  <si>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</si>
  <si>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</si>
  <si>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</si>
  <si>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</si>
  <si>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</si>
  <si>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</si>
  <si>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</si>
  <si>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</si>
  <si>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</si>
  <si>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</si>
  <si>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</si>
  <si>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</si>
  <si>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</si>
  <si>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</si>
  <si>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</si>
  <si>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</si>
  <si>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</si>
  <si>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</si>
  <si>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</si>
  <si>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</si>
  <si>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</si>
  <si>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</si>
  <si>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</si>
  <si>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</si>
  <si>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</si>
  <si>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</si>
  <si>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</si>
  <si>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</si>
  <si>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</si>
  <si>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</si>
  <si>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</si>
  <si>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</si>
  <si>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</si>
  <si>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</si>
  <si>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</si>
  <si>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</si>
  <si>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</si>
  <si>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</si>
  <si>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</si>
  <si>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</si>
  <si>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</si>
  <si>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</si>
  <si>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</si>
  <si>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</si>
  <si>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</si>
  <si>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</si>
  <si>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</si>
  <si>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</si>
  <si>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</si>
  <si>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</si>
  <si>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</si>
  <si>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</si>
  <si>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</si>
  <si>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</si>
  <si>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</si>
  <si>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</si>
  <si>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</si>
  <si>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</si>
  <si>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</si>
  <si>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</si>
  <si>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</si>
  <si>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</si>
  <si>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</si>
  <si>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</si>
  <si>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</si>
  <si>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</si>
  <si>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</si>
  <si>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</si>
  <si>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</si>
  <si>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</si>
  <si>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</si>
  <si>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</si>
  <si>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</si>
  <si>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</si>
  <si>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</si>
  <si>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</si>
  <si>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</si>
  <si>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</si>
  <si>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</si>
  <si>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</si>
  <si>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</si>
  <si>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</si>
  <si>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</si>
  <si>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</si>
  <si>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</si>
  <si>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</si>
  <si>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</si>
  <si>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</si>
  <si>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</si>
  <si>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</si>
  <si>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</si>
  <si>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</si>
  <si>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</si>
  <si>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</si>
  <si>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</si>
  <si>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</si>
  <si>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</si>
  <si>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</si>
  <si>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</si>
  <si>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</si>
  <si>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</si>
  <si>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</si>
  <si>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</si>
  <si>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</si>
  <si>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</si>
  <si>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</si>
  <si>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</si>
  <si>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</si>
  <si>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</si>
  <si>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</si>
  <si>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</si>
  <si>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</si>
  <si>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</si>
  <si>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</si>
  <si>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</si>
  <si>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</si>
  <si>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</si>
  <si>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</si>
  <si>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</si>
  <si>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</si>
  <si>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</si>
  <si>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</si>
  <si>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</si>
  <si>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</si>
  <si>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</si>
  <si>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</si>
  <si>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</si>
  <si>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</si>
  <si>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</si>
  <si>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</si>
  <si>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</si>
  <si>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</si>
  <si>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</si>
  <si>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</si>
  <si>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</si>
  <si>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</si>
  <si>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</si>
  <si>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</si>
  <si>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</si>
  <si>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</si>
  <si>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</si>
  <si>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</si>
  <si>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</si>
  <si>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</si>
  <si>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</si>
  <si>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</si>
  <si>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</si>
  <si>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</si>
  <si>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</si>
  <si>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</si>
  <si>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</si>
  <si>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</si>
  <si>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</si>
  <si>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</si>
  <si>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</si>
  <si>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</si>
  <si>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</si>
  <si>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</si>
  <si>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</si>
  <si>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</si>
  <si>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</si>
  <si>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</si>
  <si>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</si>
  <si>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</si>
  <si>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</si>
  <si>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</si>
  <si>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</si>
  <si>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</si>
  <si>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</si>
  <si>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</si>
  <si>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</si>
  <si>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</si>
  <si>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</si>
  <si>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</si>
  <si>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</si>
  <si>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</si>
  <si>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</si>
  <si>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</si>
  <si>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</si>
  <si>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</si>
  <si>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</si>
  <si>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</si>
  <si>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</si>
  <si>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</si>
  <si>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</si>
  <si>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</si>
  <si>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</si>
  <si>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</si>
  <si>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</si>
  <si>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</si>
  <si>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</si>
  <si>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</si>
  <si>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</si>
  <si>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</si>
  <si>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</si>
  <si>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</si>
  <si>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</si>
  <si>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</si>
  <si>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</si>
  <si>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</si>
  <si>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</si>
  <si>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</si>
  <si>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</si>
  <si>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</si>
  <si>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</si>
  <si>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</si>
  <si>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</si>
  <si>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</si>
  <si>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</si>
  <si>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</si>
  <si>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</si>
  <si>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</si>
  <si>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</si>
  <si>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</si>
  <si>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</si>
  <si>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</si>
  <si>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</si>
  <si>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</si>
  <si>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</si>
  <si>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</si>
  <si>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</si>
  <si>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</si>
  <si>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</si>
  <si>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</si>
  <si>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</si>
  <si>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</si>
  <si>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</si>
  <si>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</si>
  <si>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</si>
  <si>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</si>
  <si>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</si>
  <si>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</si>
  <si>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</si>
  <si>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</si>
  <si>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</si>
  <si>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</si>
  <si>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</si>
  <si>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</si>
  <si>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</si>
  <si>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</si>
  <si>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</si>
  <si>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</si>
  <si>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</si>
  <si>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</si>
  <si>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</si>
  <si>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</si>
  <si>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</si>
  <si>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</si>
  <si>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</si>
  <si>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</si>
  <si>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</si>
  <si>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</si>
  <si>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</si>
  <si>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</si>
  <si>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</si>
  <si>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</si>
  <si>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</si>
  <si>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</si>
  <si>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</si>
  <si>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</si>
  <si>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</si>
  <si>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</si>
  <si>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</si>
  <si>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</si>
  <si>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</si>
  <si>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</si>
  <si>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</si>
  <si>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</si>
  <si>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</si>
  <si>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</si>
  <si>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</si>
  <si>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</si>
  <si>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</si>
  <si>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</si>
  <si>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</si>
  <si>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</si>
  <si>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</si>
  <si>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</si>
  <si>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</si>
  <si>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</si>
  <si>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</si>
  <si>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</si>
  <si>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</si>
  <si>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</si>
  <si>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</si>
  <si>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</si>
  <si>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</si>
  <si>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</si>
  <si>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</si>
  <si>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</si>
  <si>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</si>
  <si>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</si>
  <si>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</si>
  <si>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</si>
  <si>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</si>
  <si>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</si>
  <si>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</si>
  <si>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</si>
  <si>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</si>
  <si>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</si>
  <si>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</si>
  <si>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</si>
  <si>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</si>
  <si>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</si>
  <si>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</si>
  <si>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</si>
  <si>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</si>
  <si>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</si>
  <si>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</si>
  <si>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</si>
  <si>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</si>
  <si>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</si>
  <si>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</si>
  <si>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</si>
  <si>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</si>
  <si>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</si>
  <si>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</si>
  <si>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</si>
  <si>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</si>
  <si>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</si>
  <si>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</si>
  <si>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</si>
  <si>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</si>
  <si>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</si>
  <si>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</si>
  <si>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</si>
  <si>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</si>
  <si>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</si>
  <si>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</si>
  <si>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</si>
  <si>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</si>
  <si>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</si>
  <si>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</si>
  <si>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</si>
  <si>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</si>
  <si>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</si>
  <si>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</si>
  <si>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</si>
  <si>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</si>
  <si>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</si>
  <si>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</si>
  <si>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</si>
  <si>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</si>
  <si>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</si>
  <si>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</si>
  <si>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</si>
  <si>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</si>
  <si>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</si>
  <si>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</si>
  <si>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</si>
  <si>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</si>
  <si>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</si>
  <si>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</si>
  <si>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</si>
  <si>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</si>
  <si>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</si>
  <si>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</si>
  <si>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</si>
  <si>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</si>
  <si>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</si>
  <si>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</si>
  <si>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</si>
  <si>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</si>
  <si>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</si>
  <si>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</si>
  <si>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</si>
  <si>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</si>
  <si>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</si>
  <si>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</si>
  <si>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</si>
  <si>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</si>
  <si>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</si>
  <si>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</si>
  <si>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</si>
  <si>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</si>
  <si>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</si>
  <si>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</si>
  <si>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</si>
  <si>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</si>
  <si>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</si>
  <si>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</si>
  <si>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</si>
  <si>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</si>
  <si>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</si>
  <si>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</si>
  <si>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</si>
  <si>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</si>
  <si>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</si>
  <si>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</si>
  <si>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</si>
  <si>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</si>
  <si>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</si>
  <si>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</si>
  <si>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</si>
  <si>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</si>
  <si>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</si>
  <si>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</si>
  <si>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</si>
  <si>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</si>
  <si>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</si>
  <si>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</si>
  <si>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</si>
  <si>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</si>
  <si>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</si>
  <si>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</si>
  <si>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</si>
  <si>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</si>
  <si>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</si>
  <si>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</si>
  <si>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</si>
  <si>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</si>
  <si>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</si>
  <si>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</si>
  <si>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</si>
  <si>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</si>
  <si>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</si>
  <si>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</si>
  <si>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</si>
  <si>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</si>
  <si>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</si>
  <si>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</si>
  <si>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</si>
  <si>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</si>
  <si>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</si>
  <si>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</si>
  <si>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</si>
  <si>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</si>
  <si>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</si>
  <si>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</si>
  <si>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</si>
  <si>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</si>
  <si>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</si>
  <si>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</si>
  <si>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</si>
  <si>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</si>
  <si>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</si>
  <si>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</si>
  <si>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</si>
  <si>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</si>
  <si>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</si>
  <si>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</si>
  <si>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</si>
  <si>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</si>
  <si>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</si>
  <si>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</si>
  <si>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</si>
  <si>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</si>
  <si>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</si>
  <si>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</si>
  <si>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</si>
  <si>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</si>
  <si>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</si>
  <si>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</si>
  <si>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</si>
  <si>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</si>
  <si>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</si>
  <si>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</si>
  <si>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</si>
  <si>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</si>
  <si>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</si>
  <si>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</si>
  <si>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</si>
  <si>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</si>
  <si>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</si>
  <si>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</si>
  <si>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</si>
  <si>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</si>
  <si>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</si>
  <si>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</si>
  <si>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</si>
  <si>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</si>
  <si>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</si>
  <si>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</si>
  <si>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</si>
  <si>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</si>
  <si>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</si>
  <si>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</si>
  <si>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</si>
  <si>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</si>
  <si>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</si>
  <si>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</si>
  <si>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</si>
  <si>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</si>
  <si>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</si>
  <si>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</si>
  <si>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</si>
  <si>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</si>
  <si>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</si>
  <si>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</si>
  <si>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</si>
  <si>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</si>
  <si>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</si>
  <si>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</si>
  <si>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</si>
  <si>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</si>
  <si>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</si>
  <si>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</si>
  <si>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</si>
  <si>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</si>
  <si>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</si>
  <si>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</si>
  <si>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</si>
  <si>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</si>
  <si>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</si>
  <si>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</si>
  <si>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</si>
  <si>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</si>
  <si>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</si>
  <si>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</si>
  <si>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</si>
  <si>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</si>
  <si>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</si>
  <si>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</si>
  <si>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</si>
  <si>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</si>
  <si>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</si>
  <si>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</si>
  <si>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</si>
  <si>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</si>
  <si>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</si>
  <si>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</si>
  <si>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</si>
  <si>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</si>
  <si>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</si>
  <si>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</si>
  <si>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</si>
  <si>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</si>
  <si>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</si>
  <si>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</si>
  <si>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</si>
  <si>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</si>
  <si>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</si>
  <si>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</si>
  <si>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</si>
  <si>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</si>
  <si>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</si>
  <si>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</si>
  <si>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</si>
  <si>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</si>
  <si>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</si>
  <si>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</si>
  <si>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</si>
  <si>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</si>
  <si>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</si>
  <si>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</si>
  <si>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</si>
  <si>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</si>
  <si>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</si>
  <si>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</si>
  <si>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</si>
  <si>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</si>
  <si>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</si>
  <si>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</si>
  <si>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</si>
  <si>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</si>
  <si>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</si>
  <si>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</si>
  <si>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</si>
  <si>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</si>
  <si>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</si>
  <si>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</si>
  <si>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</si>
  <si>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</si>
  <si>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</si>
  <si>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</si>
  <si>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</si>
  <si>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</si>
  <si>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</si>
  <si>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</si>
  <si>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</si>
  <si>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</si>
  <si>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</si>
  <si>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</si>
  <si>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</si>
  <si>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</si>
  <si>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</si>
  <si>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</si>
  <si>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</si>
  <si>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</si>
  <si>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</si>
  <si>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</si>
  <si>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</si>
  <si>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</si>
  <si>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</si>
  <si>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</si>
  <si>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</si>
  <si>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</si>
  <si>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</si>
  <si>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</si>
  <si>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</si>
  <si>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</si>
  <si>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</si>
  <si>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</si>
  <si>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</si>
  <si>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</si>
  <si>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</si>
  <si>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</si>
  <si>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</si>
  <si>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</si>
  <si>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</si>
  <si>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</si>
  <si>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</si>
  <si>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</si>
  <si>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</si>
  <si>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</si>
  <si>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</si>
  <si>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</si>
  <si>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</si>
  <si>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</si>
  <si>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</si>
  <si>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</si>
  <si>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</si>
  <si>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</si>
  <si>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</si>
  <si>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</si>
  <si>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</si>
  <si>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</si>
  <si>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</si>
  <si>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</si>
  <si>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</si>
  <si>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</si>
  <si>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</si>
  <si>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</si>
  <si>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</si>
  <si>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</si>
  <si>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</si>
  <si>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</si>
  <si>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</si>
  <si>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</si>
  <si>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</si>
  <si>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</si>
  <si>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</si>
  <si>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</si>
  <si>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</si>
  <si>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</si>
  <si>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</si>
  <si>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</si>
  <si>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</si>
  <si>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</si>
  <si>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</si>
  <si>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</si>
  <si>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</si>
  <si>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</si>
  <si>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</si>
  <si>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</si>
  <si>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</si>
  <si>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</si>
  <si>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</si>
  <si>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</si>
  <si>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</si>
  <si>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</si>
  <si>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</si>
  <si>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</si>
  <si>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</si>
  <si>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</si>
  <si>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</si>
  <si>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</si>
  <si>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</si>
  <si>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</si>
  <si>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</si>
  <si>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</si>
  <si>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</si>
  <si>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</si>
  <si>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</si>
  <si>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</si>
  <si>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</si>
  <si>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</si>
  <si>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</si>
  <si>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</si>
  <si>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</si>
  <si>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</si>
  <si>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</si>
  <si>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</si>
  <si>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</si>
  <si>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</si>
  <si>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</si>
  <si>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</si>
  <si>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</si>
  <si>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</si>
  <si>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</si>
  <si>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</si>
  <si>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</si>
  <si>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</si>
  <si>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</si>
  <si>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</si>
  <si>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</si>
  <si>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</si>
  <si>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</si>
  <si>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</si>
  <si>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</si>
  <si>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</si>
  <si>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</si>
  <si>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</si>
  <si>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</si>
  <si>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</si>
  <si>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</si>
  <si>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</si>
  <si>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</si>
  <si>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</si>
  <si>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</si>
  <si>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</si>
  <si>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</si>
  <si>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</si>
  <si>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</si>
  <si>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</si>
  <si>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</si>
  <si>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</si>
  <si>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</si>
  <si>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</si>
  <si>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</si>
  <si>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</si>
  <si>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</si>
  <si>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</si>
  <si>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</si>
  <si>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</si>
  <si>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</si>
  <si>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</si>
  <si>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</si>
  <si>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</si>
  <si>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</si>
  <si>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</si>
  <si>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</si>
  <si>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</si>
  <si>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</si>
  <si>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</si>
  <si>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</si>
  <si>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</si>
  <si>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</si>
  <si>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</si>
  <si>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</si>
  <si>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</si>
  <si>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</si>
  <si>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</si>
  <si>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</si>
  <si>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</si>
  <si>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</si>
  <si>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</si>
  <si>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</si>
  <si>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</si>
  <si>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</si>
  <si>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</si>
  <si>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</si>
  <si>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</si>
  <si>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</si>
  <si>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</si>
  <si>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</si>
  <si>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</si>
  <si>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</si>
  <si>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</si>
  <si>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</si>
  <si>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</si>
  <si>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</si>
  <si>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</si>
  <si>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</si>
  <si>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</si>
  <si>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</si>
  <si>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</si>
  <si>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</si>
  <si>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</si>
  <si>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</si>
  <si>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</si>
  <si>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</si>
  <si>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</si>
  <si>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</si>
  <si>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</si>
  <si>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</si>
  <si>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</si>
  <si>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</si>
  <si>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</si>
  <si>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</si>
  <si>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</si>
  <si>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</si>
  <si>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</si>
  <si>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</si>
  <si>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</si>
  <si>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</si>
  <si>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</si>
  <si>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</si>
  <si>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</si>
  <si>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</si>
  <si>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</si>
  <si>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</si>
  <si>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</si>
  <si>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</si>
  <si>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</si>
  <si>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</si>
  <si>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</si>
  <si>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</si>
  <si>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</si>
  <si>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</si>
  <si>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</si>
  <si>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</si>
  <si>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</si>
  <si>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</si>
  <si>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</si>
  <si>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</si>
  <si>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</si>
  <si>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</si>
  <si>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</si>
  <si>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</si>
  <si>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</si>
  <si>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</si>
  <si>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</si>
  <si>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</si>
  <si>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</si>
  <si>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</si>
  <si>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</si>
  <si>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</si>
  <si>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</si>
  <si>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</si>
  <si>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</si>
  <si>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</si>
  <si>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</si>
  <si>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</si>
  <si>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</si>
  <si>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</si>
  <si>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</si>
  <si>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</si>
  <si>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</si>
  <si>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</si>
  <si>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</si>
  <si>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</si>
  <si>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</si>
  <si>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</si>
  <si>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</si>
  <si>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</si>
  <si>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</si>
  <si>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</si>
  <si>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</si>
  <si>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</si>
  <si>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</si>
  <si>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</si>
  <si>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</si>
  <si>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</si>
  <si>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</si>
  <si>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</si>
  <si>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</si>
  <si>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</si>
  <si>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</si>
  <si>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</si>
  <si>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</si>
  <si>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</si>
  <si>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</si>
  <si>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</si>
  <si>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</si>
  <si>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</si>
  <si>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</si>
  <si>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</si>
  <si>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</si>
  <si>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</si>
  <si>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</si>
  <si>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</si>
  <si>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</si>
  <si>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</si>
  <si>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</si>
  <si>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</si>
  <si>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</si>
  <si>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</si>
  <si>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</si>
  <si>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</si>
  <si>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</si>
  <si>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</si>
  <si>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</si>
  <si>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</si>
  <si>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</si>
  <si>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</si>
  <si>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</si>
  <si>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</si>
  <si>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</si>
  <si>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</si>
  <si>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</si>
  <si>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</si>
  <si>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</si>
  <si>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</si>
  <si>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</si>
  <si>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</si>
  <si>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</si>
  <si>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</si>
  <si>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</si>
  <si>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</si>
  <si>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</si>
  <si>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</si>
  <si>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</si>
  <si>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</si>
  <si>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</si>
  <si>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</si>
  <si>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</si>
  <si>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</si>
  <si>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</si>
  <si>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</si>
  <si>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</si>
  <si>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</si>
  <si>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</si>
  <si>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</si>
  <si>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</si>
  <si>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</si>
  <si>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</si>
  <si>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</si>
  <si>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</si>
  <si>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</si>
  <si>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</si>
  <si>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</si>
  <si>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</si>
  <si>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</si>
  <si>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</si>
  <si>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</si>
  <si>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</si>
  <si>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</si>
  <si>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</si>
  <si>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</si>
  <si>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</si>
  <si>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</si>
  <si>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</si>
  <si>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</si>
  <si>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</si>
  <si>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</si>
  <si>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</si>
  <si>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</si>
  <si>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</si>
  <si>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</si>
  <si>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</si>
  <si>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</si>
  <si>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</si>
  <si>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</si>
  <si>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</si>
  <si>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</si>
  <si>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</si>
  <si>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</si>
  <si>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</si>
  <si>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</si>
  <si>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</si>
  <si>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</si>
  <si>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</si>
  <si>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</si>
  <si>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</si>
  <si>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</si>
  <si>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</si>
  <si>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</si>
  <si>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</si>
  <si>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</si>
  <si>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</si>
  <si>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</si>
  <si>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</si>
  <si>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</si>
  <si>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</si>
  <si>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</si>
  <si>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</si>
  <si>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</si>
  <si>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</si>
  <si>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</si>
  <si>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</si>
  <si>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</si>
  <si>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</si>
  <si>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</si>
  <si>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</si>
  <si>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</si>
  <si>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</si>
  <si>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</si>
  <si>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</si>
  <si>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</si>
  <si>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</si>
  <si>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</si>
  <si>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</si>
  <si>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</si>
  <si>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</si>
  <si>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</si>
  <si>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</si>
  <si>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</si>
  <si>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</si>
  <si>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</si>
  <si>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</si>
  <si>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</si>
  <si>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</si>
  <si>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</si>
  <si>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</si>
  <si>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</si>
  <si>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</si>
  <si>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</si>
  <si>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</si>
  <si>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</si>
  <si>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</si>
  <si>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</si>
  <si>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</si>
  <si>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</si>
  <si>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</si>
  <si>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</si>
  <si>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</si>
  <si>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</si>
  <si>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</si>
  <si>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</si>
  <si>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</si>
  <si>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</si>
  <si>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</si>
  <si>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</si>
  <si>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</si>
  <si>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</si>
  <si>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</si>
  <si>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</si>
  <si>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</si>
  <si>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</si>
  <si>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</si>
  <si>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</si>
  <si>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</si>
  <si>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</si>
  <si>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</si>
  <si>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</si>
  <si>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</si>
  <si>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</si>
  <si>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</si>
  <si>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</si>
  <si>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</si>
  <si>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</si>
  <si>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</si>
  <si>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</si>
  <si>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</si>
  <si>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</si>
  <si>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</si>
  <si>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</si>
  <si>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</si>
  <si>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</si>
  <si>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</si>
  <si>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</si>
  <si>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</si>
  <si>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</si>
  <si>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</si>
  <si>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</si>
  <si>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</si>
  <si>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</si>
  <si>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</si>
  <si>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</si>
  <si>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</si>
  <si>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</si>
  <si>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</si>
  <si>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</si>
  <si>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</si>
  <si>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</si>
  <si>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</si>
  <si>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</si>
  <si>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</si>
  <si>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</si>
  <si>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</si>
  <si>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</si>
  <si>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</si>
  <si>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</si>
  <si>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</si>
  <si>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</si>
  <si>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</si>
  <si>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</si>
  <si>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</si>
  <si>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</si>
  <si>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</si>
  <si>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</si>
  <si>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</si>
  <si>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</si>
  <si>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</si>
  <si>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</si>
  <si>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</si>
  <si>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</si>
  <si>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</si>
  <si>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</si>
  <si>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</si>
  <si>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</si>
  <si>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</si>
  <si>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</si>
  <si>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</si>
  <si>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</si>
  <si>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</si>
  <si>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</si>
  <si>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</si>
  <si>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</si>
  <si>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</si>
  <si>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</si>
  <si>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</si>
  <si>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</si>
  <si>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</si>
  <si>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</si>
  <si>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</si>
  <si>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</si>
  <si>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</si>
  <si>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</si>
  <si>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</si>
  <si>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</si>
  <si>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</si>
  <si>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</si>
  <si>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</si>
  <si>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</si>
  <si>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</si>
  <si>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</si>
  <si>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</si>
  <si>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</si>
  <si>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</si>
  <si>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</si>
  <si>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</si>
  <si>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</si>
  <si>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</si>
  <si>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</si>
  <si>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</si>
  <si>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</si>
  <si>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</si>
  <si>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</si>
  <si>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</si>
  <si>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</si>
  <si>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</si>
  <si>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</si>
  <si>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</si>
  <si>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</si>
  <si>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</si>
  <si>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</si>
  <si>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</si>
  <si>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</si>
  <si>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</si>
  <si>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</si>
  <si>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</si>
  <si>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</si>
  <si>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</si>
  <si>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</si>
  <si>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</si>
  <si>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</si>
  <si>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</si>
  <si>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</si>
  <si>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</si>
  <si>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</si>
  <si>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</si>
  <si>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</si>
  <si>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</si>
  <si>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</si>
  <si>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</si>
  <si>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</si>
  <si>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</si>
  <si>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</si>
  <si>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</si>
  <si>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</si>
  <si>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</si>
  <si>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</si>
  <si>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</si>
  <si>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</si>
  <si>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</si>
  <si>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</si>
  <si>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</si>
  <si>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</si>
  <si>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</si>
  <si>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</si>
  <si>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</si>
  <si>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</si>
  <si>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</si>
  <si>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</si>
  <si>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</si>
  <si>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</si>
  <si>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</si>
  <si>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</si>
  <si>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</si>
  <si>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</si>
  <si>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</si>
  <si>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</si>
  <si>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</si>
  <si>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</si>
  <si>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</si>
  <si>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</si>
  <si>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</si>
  <si>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</si>
  <si>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</si>
  <si>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</si>
  <si>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</si>
  <si>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</si>
  <si>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</si>
  <si>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</si>
  <si>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</si>
  <si>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</si>
  <si>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</si>
  <si>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</si>
  <si>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</si>
  <si>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</si>
  <si>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</si>
  <si>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</si>
  <si>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</si>
  <si>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</si>
  <si>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</si>
  <si>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</si>
  <si>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</si>
  <si>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</si>
  <si>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</si>
  <si>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</si>
  <si>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</si>
  <si>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</si>
  <si>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</si>
  <si>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</si>
  <si>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</si>
  <si>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</si>
  <si>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</si>
  <si>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</si>
  <si>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</si>
  <si>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</si>
  <si>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</si>
  <si>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</si>
  <si>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</si>
  <si>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</si>
  <si>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</si>
  <si>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</si>
  <si>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</si>
  <si>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</si>
  <si>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</si>
  <si>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</si>
  <si>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</si>
  <si>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</si>
  <si>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</si>
  <si>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</si>
  <si>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</si>
  <si>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</si>
  <si>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</si>
  <si>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</si>
  <si>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</si>
  <si>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</si>
  <si>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</si>
  <si>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</si>
  <si>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</si>
  <si>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</si>
  <si>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</si>
  <si>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</si>
  <si>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</si>
  <si>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</si>
  <si>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</si>
  <si>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</si>
  <si>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</si>
  <si>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</si>
  <si>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</si>
  <si>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</si>
  <si>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</si>
  <si>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</si>
  <si>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</si>
  <si>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</si>
  <si>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</si>
  <si>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</si>
  <si>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</si>
  <si>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</si>
  <si>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</si>
  <si>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</si>
  <si>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</si>
  <si>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</si>
  <si>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</si>
  <si>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</si>
  <si>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</si>
  <si>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</si>
  <si>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</si>
  <si>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</si>
  <si>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</si>
  <si>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</si>
  <si>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</si>
  <si>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</si>
  <si>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</si>
  <si>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</si>
  <si>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</si>
  <si>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</si>
  <si>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</si>
  <si>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</si>
  <si>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</si>
  <si>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</si>
  <si>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</si>
  <si>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</si>
  <si>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</si>
  <si>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</si>
  <si>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</si>
  <si>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</si>
  <si>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</si>
  <si>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</si>
  <si>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</si>
  <si>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</si>
  <si>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</si>
  <si>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</si>
  <si>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</si>
  <si>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</si>
  <si>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</si>
  <si>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</si>
  <si>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</si>
  <si>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</si>
  <si>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</si>
  <si>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</si>
  <si>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</si>
  <si>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</si>
  <si>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</si>
  <si>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</si>
  <si>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</si>
  <si>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</si>
  <si>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</si>
  <si>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</si>
  <si>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</si>
  <si>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</si>
  <si>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</si>
  <si>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</si>
  <si>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</si>
  <si>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</si>
  <si>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</si>
  <si>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</si>
  <si>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</si>
  <si>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</si>
  <si>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</si>
  <si>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</si>
  <si>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</si>
  <si>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</si>
  <si>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</si>
  <si>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</si>
  <si>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</si>
  <si>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</si>
  <si>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</si>
  <si>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</si>
  <si>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</si>
  <si>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</si>
  <si>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</si>
  <si>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</si>
  <si>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</si>
  <si>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</si>
  <si>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</si>
  <si>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</si>
  <si>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</si>
  <si>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</si>
  <si>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</si>
  <si>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</si>
  <si>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</si>
  <si>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</si>
  <si>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</si>
  <si>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</si>
  <si>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</si>
  <si>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</si>
  <si>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</si>
  <si>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</si>
  <si>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</si>
  <si>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</si>
  <si>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</si>
  <si>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</si>
  <si>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</si>
  <si>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</si>
  <si>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</si>
  <si>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</si>
  <si>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</si>
  <si>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</si>
  <si>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</si>
  <si>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</si>
  <si>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</si>
  <si>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</si>
  <si>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</si>
  <si>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</si>
  <si>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</si>
  <si>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</si>
  <si>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</si>
  <si>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</si>
  <si>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</si>
  <si>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</si>
  <si>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</si>
  <si>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</si>
  <si>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</si>
  <si>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</si>
  <si>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</si>
  <si>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</si>
  <si>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</si>
  <si>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</si>
  <si>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</si>
  <si>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</si>
  <si>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</si>
  <si>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</si>
  <si>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</si>
  <si>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</si>
  <si>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</si>
  <si>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</si>
  <si>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</si>
  <si>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</si>
  <si>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</si>
  <si>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</si>
  <si>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</si>
  <si>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</si>
  <si>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</si>
  <si>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</si>
  <si>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</si>
  <si>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</si>
  <si>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</si>
  <si>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</si>
  <si>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</si>
  <si>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</si>
  <si>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</si>
  <si>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</si>
  <si>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</si>
  <si>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</si>
  <si>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</si>
  <si>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</si>
  <si>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</si>
  <si>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</si>
  <si>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</si>
  <si>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</si>
  <si>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</si>
  <si>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</si>
  <si>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</si>
  <si>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</si>
  <si>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</si>
  <si>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</si>
  <si>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</si>
  <si>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</si>
  <si>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</si>
  <si>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</si>
  <si>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</si>
  <si>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</si>
  <si>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</si>
  <si>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</si>
  <si>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</si>
  <si>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</si>
  <si>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</si>
  <si>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</si>
  <si>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</si>
  <si>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</si>
  <si>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</si>
  <si>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</si>
  <si>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</si>
  <si>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</si>
  <si>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</si>
  <si>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</si>
  <si>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</si>
  <si>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</si>
  <si>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</si>
  <si>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</si>
  <si>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</si>
  <si>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</si>
  <si>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</si>
  <si>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</si>
  <si>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</si>
  <si>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</si>
  <si>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</si>
  <si>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</si>
  <si>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</si>
  <si>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</si>
  <si>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</si>
  <si>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</si>
  <si>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</si>
  <si>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</si>
  <si>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</si>
  <si>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</si>
  <si>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</si>
  <si>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</si>
  <si>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</si>
  <si>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</si>
  <si>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</si>
  <si>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</si>
  <si>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</si>
  <si>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</si>
  <si>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</si>
  <si>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</si>
  <si>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</si>
  <si>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</si>
  <si>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</si>
  <si>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</si>
  <si>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</si>
  <si>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</si>
  <si>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</si>
  <si>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</si>
  <si>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</si>
  <si>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</si>
  <si>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</si>
  <si>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</si>
  <si>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</si>
  <si>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</si>
  <si>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</si>
  <si>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</si>
  <si>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</si>
  <si>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</si>
  <si>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</si>
  <si>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</si>
  <si>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</si>
  <si>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</si>
  <si>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</si>
  <si>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</si>
  <si>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</si>
  <si>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</si>
  <si>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</si>
  <si>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</si>
  <si>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</si>
  <si>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</si>
  <si>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</si>
  <si>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</si>
  <si>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</si>
  <si>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</si>
  <si>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</si>
  <si>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</si>
  <si>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</si>
  <si>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</si>
  <si>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</si>
  <si>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</si>
  <si>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</si>
  <si>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</si>
  <si>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</si>
  <si>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</si>
  <si>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</si>
  <si>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</si>
  <si>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</si>
  <si>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</si>
  <si>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</si>
  <si>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</si>
  <si>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</si>
  <si>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</si>
  <si>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</si>
  <si>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</si>
  <si>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</si>
  <si>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</si>
  <si>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</si>
  <si>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</si>
  <si>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</si>
  <si>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</si>
  <si>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</si>
  <si>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</si>
  <si>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</si>
  <si>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</si>
  <si>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</si>
  <si>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</si>
  <si>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</si>
  <si>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</si>
  <si>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</si>
  <si>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</si>
  <si>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</si>
  <si>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</si>
  <si>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</si>
  <si>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</si>
  <si>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</si>
  <si>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</si>
  <si>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</si>
  <si>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</si>
  <si>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</si>
  <si>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</si>
  <si>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</si>
  <si>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</si>
  <si>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</si>
  <si>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</si>
  <si>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</si>
  <si>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</si>
  <si>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</si>
  <si>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</si>
  <si>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</si>
  <si>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</si>
  <si>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</si>
  <si>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</si>
  <si>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</si>
  <si>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</si>
  <si>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</si>
  <si>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</si>
  <si>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</si>
  <si>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</si>
  <si>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</si>
  <si>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</si>
  <si>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</si>
  <si>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</si>
  <si>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</si>
  <si>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</si>
  <si>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</si>
  <si>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</si>
  <si>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</si>
  <si>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</si>
  <si>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</si>
  <si>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</si>
  <si>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</si>
  <si>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</si>
  <si>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</si>
  <si>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</si>
  <si>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</si>
  <si>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</si>
  <si>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</si>
  <si>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</si>
  <si>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</si>
  <si>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</si>
  <si>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</si>
  <si>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</si>
  <si>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</si>
  <si>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</si>
  <si>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</si>
  <si>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</si>
  <si>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</si>
  <si>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</si>
  <si>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</si>
  <si>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</si>
  <si>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</si>
  <si>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</si>
  <si>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</si>
  <si>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</si>
  <si>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</si>
  <si>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</si>
  <si>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</si>
  <si>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</si>
  <si>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</si>
  <si>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</si>
  <si>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</si>
  <si>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</si>
  <si>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</si>
  <si>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</si>
  <si>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</si>
  <si>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</si>
  <si>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</si>
  <si>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</si>
  <si>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</si>
  <si>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</si>
  <si>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</si>
  <si>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</si>
  <si>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</si>
  <si>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</si>
  <si>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</si>
  <si>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</si>
  <si>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</si>
  <si>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</si>
  <si>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</si>
  <si>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</si>
  <si>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</si>
  <si>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</si>
  <si>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</si>
  <si>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</si>
  <si>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</si>
  <si>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</si>
  <si>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</si>
  <si>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</si>
  <si>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</si>
  <si>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</si>
  <si>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</si>
  <si>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</si>
  <si>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</si>
  <si>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</si>
  <si>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</si>
  <si>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</si>
  <si>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</si>
  <si>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</si>
  <si>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</si>
  <si>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</si>
  <si>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</si>
  <si>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</si>
  <si>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</si>
  <si>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</si>
  <si>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</si>
  <si>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</si>
  <si>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</si>
  <si>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</si>
  <si>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</si>
  <si>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</si>
  <si>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</si>
  <si>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</si>
  <si>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</si>
  <si>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</si>
  <si>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</si>
  <si>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</si>
  <si>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</si>
  <si>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</si>
  <si>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</si>
  <si>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</si>
  <si>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</si>
  <si>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</si>
  <si>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</si>
  <si>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</si>
  <si>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</si>
  <si>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</si>
  <si>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</si>
  <si>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</si>
  <si>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</si>
  <si>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</si>
  <si>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</si>
  <si>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</si>
  <si>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</si>
  <si>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</si>
  <si>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</si>
  <si>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</si>
  <si>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</si>
  <si>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</si>
  <si>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</si>
  <si>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</si>
  <si>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</si>
  <si>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</si>
  <si>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</si>
  <si>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</si>
  <si>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</si>
  <si>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</si>
  <si>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</si>
  <si>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</si>
  <si>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</si>
  <si>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</si>
  <si>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</si>
  <si>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</si>
  <si>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</si>
  <si>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</si>
  <si>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</si>
  <si>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</si>
  <si>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</si>
  <si>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</si>
  <si>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</si>
  <si>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</si>
  <si>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</si>
  <si>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</si>
  <si>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</si>
  <si>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</si>
  <si>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</si>
  <si>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</si>
  <si>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</si>
  <si>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</si>
  <si>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</si>
  <si>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</si>
  <si>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</si>
  <si>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</si>
  <si>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</si>
  <si>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</si>
  <si>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</si>
  <si>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</si>
  <si>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</si>
  <si>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</si>
  <si>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</si>
  <si>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</si>
  <si>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</si>
  <si>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</si>
  <si>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</si>
  <si>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</si>
  <si>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</si>
  <si>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</si>
  <si>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</si>
  <si>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</si>
  <si>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</si>
  <si>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</si>
  <si>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</si>
  <si>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</si>
  <si>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</si>
  <si>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</si>
  <si>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</si>
  <si>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</si>
  <si>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</si>
  <si>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</si>
  <si>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</si>
  <si>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</si>
  <si>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</si>
  <si>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</si>
  <si>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</si>
  <si>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</si>
  <si>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</si>
  <si>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</si>
  <si>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</si>
  <si>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</si>
  <si>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</si>
  <si>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</si>
  <si>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</si>
  <si>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</si>
  <si>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</si>
  <si>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</si>
  <si>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</si>
  <si>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</si>
  <si>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</si>
  <si>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</si>
  <si>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</si>
  <si>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</si>
  <si>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</si>
  <si>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</si>
  <si>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</si>
  <si>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</si>
  <si>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</si>
  <si>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</si>
  <si>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</si>
  <si>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</si>
  <si>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</si>
  <si>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</si>
  <si>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</si>
  <si>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</si>
  <si>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</si>
  <si>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</si>
  <si>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</si>
  <si>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</si>
  <si>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</si>
  <si>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</si>
  <si>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</si>
  <si>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</si>
  <si>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</si>
  <si>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</si>
  <si>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</si>
  <si>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</si>
  <si>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</si>
  <si>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</si>
  <si>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</si>
  <si>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</si>
  <si>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</si>
  <si>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</si>
  <si>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</si>
  <si>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</si>
  <si>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</si>
  <si>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</si>
  <si>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</si>
  <si>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</si>
  <si>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</si>
  <si>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</si>
  <si>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</si>
  <si>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</si>
  <si>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</si>
  <si>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</si>
  <si>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</si>
  <si>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</si>
  <si>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</si>
  <si>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</si>
  <si>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</si>
  <si>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</si>
  <si>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</si>
  <si>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</si>
  <si>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</si>
  <si>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</si>
  <si>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</si>
  <si>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</si>
  <si>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</si>
  <si>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</si>
  <si>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</si>
  <si>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</si>
  <si>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</si>
  <si>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</si>
  <si>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</si>
  <si>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</si>
  <si>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</si>
  <si>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</si>
  <si>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</si>
  <si>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</si>
  <si>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</si>
  <si>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</si>
  <si>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</si>
  <si>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</si>
  <si>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</si>
  <si>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</si>
  <si>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</si>
  <si>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</si>
  <si>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</si>
  <si>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</si>
  <si>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</si>
  <si>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</si>
  <si>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</si>
  <si>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</si>
  <si>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</si>
  <si>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</si>
  <si>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</si>
  <si>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</si>
  <si>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</si>
  <si>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</si>
  <si>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</si>
  <si>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</si>
  <si>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</si>
  <si>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</si>
  <si>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</si>
  <si>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</si>
  <si>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</si>
  <si>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</si>
  <si>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</si>
  <si>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</si>
  <si>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</si>
  <si>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</si>
  <si>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</si>
  <si>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</si>
  <si>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</si>
  <si>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</si>
  <si>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</si>
  <si>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</si>
  <si>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</si>
  <si>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</si>
  <si>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</si>
  <si>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</si>
  <si>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</si>
  <si>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</si>
  <si>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</si>
  <si>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</si>
  <si>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</si>
  <si>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</si>
  <si>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</si>
  <si>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</si>
  <si>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</si>
  <si>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</si>
  <si>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</si>
  <si>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</si>
  <si>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</si>
  <si>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</si>
  <si>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</si>
  <si>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</si>
  <si>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</si>
  <si>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</si>
  <si>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</si>
  <si>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</si>
  <si>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</si>
  <si>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</si>
  <si>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</si>
  <si>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</si>
  <si>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</si>
  <si>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</si>
  <si>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</si>
  <si>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</si>
  <si>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</si>
  <si>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</si>
  <si>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</si>
  <si>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</si>
  <si>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</si>
  <si>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</si>
  <si>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</si>
  <si>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</si>
  <si>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</si>
  <si>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</si>
  <si>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</si>
  <si>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</si>
  <si>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</si>
  <si>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</si>
  <si>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</si>
  <si>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</si>
  <si>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</si>
  <si>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</si>
  <si>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</si>
  <si>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</si>
  <si>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</si>
  <si>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</si>
  <si>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</si>
  <si>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</si>
  <si>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</si>
  <si>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</si>
  <si>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</si>
  <si>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</si>
  <si>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</si>
  <si>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</si>
  <si>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</si>
  <si>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</si>
  <si>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</si>
  <si>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</si>
  <si>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</si>
  <si>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</si>
  <si>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</si>
  <si>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</si>
  <si>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</si>
  <si>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</si>
  <si>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</si>
  <si>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</si>
  <si>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</si>
  <si>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</si>
  <si>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</si>
  <si>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</si>
  <si>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</si>
  <si>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</si>
  <si>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</si>
  <si>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</si>
  <si>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</si>
  <si>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</si>
  <si>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</si>
  <si>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</si>
  <si>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</si>
  <si>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</si>
  <si>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</si>
  <si>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</si>
  <si>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</si>
  <si>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</si>
  <si>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</si>
  <si>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</si>
  <si>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</si>
  <si>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</si>
  <si>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</si>
  <si>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</si>
  <si>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</si>
  <si>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</si>
  <si>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</si>
  <si>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</si>
  <si>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</si>
  <si>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</si>
  <si>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</si>
  <si>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</si>
  <si>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</si>
  <si>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</si>
  <si>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</si>
  <si>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</si>
  <si>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</si>
  <si>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</si>
  <si>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</si>
  <si>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</si>
  <si>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</si>
  <si>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</si>
  <si>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</si>
  <si>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</si>
  <si>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</si>
  <si>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</si>
  <si>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</si>
  <si>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</si>
  <si>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</si>
  <si>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</si>
  <si>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</si>
  <si>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</si>
  <si>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</si>
  <si>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</si>
  <si>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</si>
  <si>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</si>
  <si>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</si>
  <si>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</si>
  <si>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</si>
  <si>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</si>
  <si>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</si>
  <si>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</si>
  <si>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</si>
  <si>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</si>
  <si>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</si>
  <si>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</si>
  <si>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</si>
  <si>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</si>
  <si>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</si>
  <si>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</si>
  <si>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</si>
  <si>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</si>
  <si>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</si>
  <si>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</si>
  <si>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</si>
  <si>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</si>
  <si>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</si>
  <si>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</si>
  <si>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</si>
  <si>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</si>
  <si>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</si>
  <si>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</si>
  <si>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</si>
  <si>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</si>
  <si>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</si>
  <si>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</si>
  <si>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</si>
  <si>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</si>
  <si>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</si>
  <si>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</si>
  <si>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</si>
  <si>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</si>
  <si>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</si>
  <si>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</si>
  <si>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</si>
  <si>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</si>
  <si>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</si>
  <si>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</si>
  <si>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</si>
  <si>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</si>
  <si>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</si>
  <si>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</si>
  <si>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</si>
  <si>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</si>
  <si>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</si>
  <si>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</si>
  <si>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</si>
  <si>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</si>
  <si>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</si>
  <si>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</si>
  <si>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</si>
  <si>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</si>
  <si>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</si>
  <si>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</si>
  <si>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</si>
  <si>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</si>
  <si>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</si>
  <si>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</si>
  <si>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</si>
  <si>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</si>
  <si>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</si>
  <si>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</si>
  <si>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</si>
  <si>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</si>
  <si>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</si>
  <si>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</si>
  <si>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</si>
  <si>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</si>
  <si>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</si>
  <si>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</si>
  <si>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</si>
  <si>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</si>
  <si>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</si>
  <si>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</si>
  <si>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</si>
  <si>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</si>
  <si>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</si>
  <si>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</si>
  <si>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</si>
  <si>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</si>
  <si>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</si>
  <si>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</si>
  <si>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</si>
  <si>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</si>
  <si>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</si>
  <si>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</si>
  <si>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</si>
  <si>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</si>
  <si>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</si>
  <si>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</si>
  <si>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</si>
  <si>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</si>
  <si>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</si>
  <si>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</si>
  <si>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</si>
  <si>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</si>
  <si>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</si>
  <si>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</si>
  <si>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</si>
  <si>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</si>
  <si>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</si>
  <si>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</si>
  <si>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</si>
  <si>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</si>
  <si>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</si>
  <si>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</si>
  <si>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</si>
  <si>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</si>
  <si>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</si>
  <si>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</si>
  <si>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</si>
  <si>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</si>
  <si>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</si>
  <si>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</si>
  <si>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</si>
  <si>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</si>
  <si>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</si>
  <si>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</si>
  <si>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</si>
  <si>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</si>
  <si>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</si>
  <si>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</si>
  <si>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</si>
  <si>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</si>
  <si>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</si>
  <si>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</si>
  <si>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</si>
  <si>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</si>
  <si>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</si>
  <si>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</si>
  <si>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</si>
  <si>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</si>
  <si>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</si>
  <si>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</si>
  <si>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</si>
  <si>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</si>
  <si>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</si>
  <si>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</si>
  <si>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</si>
  <si>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</si>
  <si>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</si>
  <si>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</si>
  <si>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</si>
  <si>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</si>
  <si>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</si>
  <si>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</si>
  <si>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</si>
  <si>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</si>
  <si>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</si>
  <si>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</si>
  <si>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</si>
  <si>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</si>
  <si>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</si>
  <si>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</si>
  <si>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</si>
  <si>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</si>
  <si>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</si>
  <si>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</si>
  <si>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</si>
  <si>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</si>
  <si>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</si>
  <si>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</si>
  <si>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</si>
  <si>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</si>
  <si>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</si>
  <si>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</si>
  <si>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</si>
  <si>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</si>
  <si>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</si>
  <si>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</si>
  <si>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</si>
  <si>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</si>
  <si>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</si>
  <si>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</si>
  <si>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</si>
  <si>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</si>
  <si>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</si>
  <si>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</si>
  <si>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</si>
  <si>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</si>
  <si>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</si>
  <si>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</si>
  <si>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</si>
  <si>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</si>
  <si>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</si>
  <si>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</si>
  <si>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</si>
  <si>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</si>
  <si>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</si>
  <si>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</si>
  <si>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</si>
  <si>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</si>
  <si>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</si>
  <si>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</si>
  <si>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</si>
  <si>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</si>
  <si>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</si>
  <si>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</si>
  <si>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</si>
  <si>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</si>
  <si>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</si>
  <si>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</si>
  <si>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</si>
  <si>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</si>
  <si>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</si>
  <si>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</si>
  <si>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</si>
  <si>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</si>
  <si>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</si>
  <si>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</si>
  <si>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</si>
  <si>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</si>
  <si>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</si>
  <si>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</si>
  <si>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</si>
  <si>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</si>
  <si>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</si>
  <si>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</si>
  <si>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</si>
  <si>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</si>
  <si>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</si>
  <si>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</si>
  <si>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</si>
  <si>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</si>
  <si>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</si>
  <si>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</si>
  <si>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</si>
  <si>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</si>
  <si>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</si>
  <si>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</si>
  <si>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</si>
  <si>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</si>
  <si>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</si>
  <si>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</si>
  <si>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</si>
  <si>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</si>
  <si>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</si>
  <si>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</si>
  <si>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</si>
  <si>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</si>
  <si>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</si>
  <si>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</si>
  <si>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</si>
  <si>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</si>
  <si>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</si>
  <si>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</si>
  <si>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</si>
  <si>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</si>
  <si>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</si>
  <si>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</si>
  <si>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</si>
  <si>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</si>
  <si>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</si>
  <si>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</si>
  <si>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</si>
  <si>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</si>
  <si>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</si>
  <si>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</si>
  <si>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</si>
  <si>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</si>
  <si>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</si>
  <si>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</si>
  <si>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</si>
  <si>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</si>
  <si>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</si>
  <si>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</si>
  <si>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</si>
  <si>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</si>
  <si>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</si>
  <si>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</si>
  <si>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</si>
  <si>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</si>
  <si>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</si>
  <si>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</si>
  <si>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</si>
  <si>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</si>
  <si>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</si>
  <si>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</si>
  <si>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</si>
  <si>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</si>
  <si>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</si>
  <si>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</si>
  <si>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</si>
  <si>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</si>
  <si>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</si>
  <si>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</si>
  <si>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</si>
  <si>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</si>
  <si>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</si>
  <si>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</si>
  <si>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</si>
  <si>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</si>
  <si>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</si>
  <si>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</si>
  <si>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</si>
  <si>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</si>
  <si>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</si>
  <si>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</si>
  <si>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</si>
  <si>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</si>
  <si>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</si>
  <si>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</si>
  <si>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</si>
  <si>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</si>
  <si>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</si>
  <si>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</si>
  <si>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</si>
  <si>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</si>
  <si>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</si>
  <si>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</si>
  <si>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</si>
  <si>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</si>
  <si>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</si>
  <si>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</si>
  <si>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</si>
  <si>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</si>
  <si>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</si>
  <si>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</si>
  <si>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</si>
  <si>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</si>
  <si>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</si>
  <si>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</si>
  <si>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</si>
  <si>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</si>
  <si>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</si>
  <si>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</si>
  <si>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</si>
  <si>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</si>
  <si>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</si>
  <si>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</si>
  <si>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</si>
  <si>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</si>
  <si>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</si>
  <si>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</si>
  <si>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</si>
  <si>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</si>
  <si>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</si>
  <si>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</si>
  <si>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</si>
  <si>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</si>
  <si>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</si>
  <si>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</si>
  <si>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</si>
  <si>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</si>
  <si>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</si>
  <si>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</si>
  <si>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</si>
  <si>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</si>
  <si>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</si>
  <si>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</si>
  <si>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</si>
  <si>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</si>
  <si>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</si>
  <si>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</si>
  <si>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</si>
  <si>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</si>
  <si>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</si>
  <si>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</si>
  <si>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</si>
  <si>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</si>
  <si>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</si>
  <si>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</si>
  <si>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</si>
  <si>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</si>
  <si>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</si>
  <si>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</si>
  <si>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</si>
  <si>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</si>
  <si>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</si>
  <si>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</si>
  <si>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</si>
  <si>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</si>
  <si>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</si>
  <si>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</si>
  <si>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</si>
  <si>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</si>
  <si>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</si>
  <si>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</si>
  <si>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</si>
  <si>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</si>
  <si>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</si>
  <si>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</si>
  <si>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</si>
  <si>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</si>
  <si>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</si>
  <si>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</si>
  <si>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</si>
  <si>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</si>
  <si>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</si>
  <si>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</si>
  <si>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</si>
  <si>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</si>
  <si>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</si>
  <si>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</si>
  <si>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</si>
  <si>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</si>
  <si>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</si>
  <si>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</si>
  <si>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</si>
  <si>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</si>
  <si>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</si>
  <si>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</si>
  <si>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</si>
  <si>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</si>
  <si>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</si>
  <si>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</si>
  <si>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</si>
  <si>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</si>
  <si>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</si>
  <si>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</si>
  <si>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</si>
  <si>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</si>
  <si>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</si>
  <si>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</si>
  <si>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</si>
  <si>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</si>
  <si>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</si>
  <si>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</si>
  <si>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</si>
  <si>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</si>
  <si>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</si>
  <si>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</si>
  <si>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</si>
  <si>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</si>
  <si>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</si>
  <si>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</si>
  <si>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</si>
  <si>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</si>
  <si>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</si>
  <si>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</si>
  <si>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</si>
  <si>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</si>
  <si>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</si>
  <si>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</si>
  <si>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</si>
  <si>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</si>
  <si>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</si>
  <si>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</si>
  <si>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</si>
  <si>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</si>
  <si>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</si>
  <si>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</si>
  <si>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</si>
  <si>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</si>
  <si>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</si>
  <si>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</si>
  <si>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</si>
  <si>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</si>
  <si>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</si>
  <si>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</si>
  <si>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</si>
  <si>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</si>
  <si>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</si>
  <si>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</si>
  <si>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</si>
  <si>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</si>
  <si>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</si>
  <si>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</si>
  <si>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</si>
  <si>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</si>
  <si>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</si>
  <si>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</si>
  <si>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</si>
  <si>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</si>
  <si>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</si>
  <si>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</si>
  <si>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</si>
  <si>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</si>
  <si>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</si>
  <si>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</si>
  <si>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</si>
  <si>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</si>
  <si>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</si>
  <si>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</si>
  <si>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</si>
  <si>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</si>
  <si>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</si>
  <si>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</si>
  <si>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</si>
  <si>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</si>
  <si>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</si>
  <si>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</si>
  <si>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</si>
  <si>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</si>
  <si>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</si>
  <si>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</si>
  <si>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</si>
  <si>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</si>
  <si>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</si>
  <si>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</si>
  <si>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</si>
  <si>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</si>
  <si>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</si>
  <si>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</si>
  <si>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</si>
  <si>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</si>
  <si>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</si>
  <si>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</si>
  <si>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</si>
  <si>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</si>
  <si>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</si>
  <si>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</si>
  <si>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</si>
  <si>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</si>
  <si>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</si>
  <si>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</si>
  <si>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</si>
  <si>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</si>
  <si>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</si>
  <si>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</si>
  <si>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</si>
  <si>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</si>
  <si>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</si>
  <si>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</si>
  <si>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</si>
  <si>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</si>
  <si>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</si>
  <si>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</si>
  <si>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</si>
  <si>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</si>
  <si>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</si>
  <si>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</si>
  <si>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</si>
  <si>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</si>
  <si>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</si>
  <si>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</si>
  <si>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</si>
  <si>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</si>
  <si>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</si>
  <si>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</si>
  <si>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</si>
  <si>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</si>
  <si>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</si>
  <si>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</si>
  <si>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</si>
  <si>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</si>
  <si>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</si>
  <si>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</si>
  <si>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</si>
  <si>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</si>
  <si>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</si>
  <si>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</si>
  <si>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</si>
  <si>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</si>
  <si>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</si>
  <si>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</si>
  <si>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</si>
  <si>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</si>
  <si>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</si>
  <si>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</si>
  <si>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</si>
  <si>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</si>
  <si>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</si>
  <si>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</si>
  <si>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</si>
  <si>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</si>
  <si>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</si>
  <si>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</si>
  <si>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</si>
  <si>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</si>
  <si>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</si>
  <si>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</si>
  <si>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</si>
  <si>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</si>
  <si>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</si>
  <si>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</si>
  <si>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</si>
  <si>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</si>
  <si>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</si>
  <si>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</si>
  <si>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</si>
  <si>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</si>
  <si>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</si>
  <si>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</si>
  <si>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</si>
  <si>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</si>
  <si>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</si>
  <si>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</si>
  <si>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</si>
  <si>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</si>
  <si>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</si>
  <si>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</si>
  <si>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</si>
  <si>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</si>
  <si>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</si>
  <si>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</si>
  <si>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</si>
  <si>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</si>
  <si>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</si>
  <si>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</si>
  <si>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</si>
  <si>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</si>
  <si>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</si>
  <si>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</si>
  <si>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</si>
  <si>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</si>
  <si>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</si>
  <si>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</si>
  <si>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</si>
  <si>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</si>
  <si>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</si>
  <si>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</si>
  <si>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</si>
  <si>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</si>
  <si>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</si>
  <si>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</si>
  <si>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</si>
  <si>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</si>
  <si>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</si>
  <si>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</si>
  <si>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</si>
  <si>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</si>
  <si>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</si>
  <si>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</si>
  <si>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</si>
  <si>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</si>
  <si>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</si>
  <si>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</si>
  <si>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</si>
  <si>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</si>
  <si>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</si>
  <si>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</si>
  <si>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</si>
  <si>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</si>
  <si>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</si>
  <si>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</si>
  <si>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</si>
  <si>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</si>
  <si>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</si>
  <si>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</si>
  <si>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</si>
  <si>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</si>
  <si>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</si>
  <si>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</si>
  <si>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</si>
  <si>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</si>
  <si>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</si>
  <si>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</si>
  <si>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</si>
  <si>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</si>
  <si>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</si>
  <si>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</si>
  <si>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</si>
  <si>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</si>
  <si>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</si>
  <si>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</si>
  <si>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</si>
  <si>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</si>
  <si>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</si>
  <si>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</si>
  <si>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</si>
  <si>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</si>
  <si>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</si>
  <si>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</si>
  <si>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</si>
  <si>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</si>
  <si>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</si>
  <si>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</si>
  <si>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</si>
  <si>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</si>
  <si>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</si>
  <si>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</si>
  <si>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</si>
  <si>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</si>
  <si>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</si>
  <si>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</si>
  <si>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</si>
  <si>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</si>
  <si>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</si>
  <si>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</si>
  <si>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</si>
  <si>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</si>
  <si>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</si>
  <si>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</si>
  <si>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</si>
  <si>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</si>
  <si>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</si>
  <si>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</si>
  <si>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</si>
  <si>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</si>
  <si>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</si>
  <si>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</si>
  <si>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</si>
  <si>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</si>
  <si>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</si>
  <si>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</si>
  <si>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</si>
  <si>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</si>
  <si>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</si>
  <si>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</si>
  <si>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</si>
  <si>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</si>
  <si>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</si>
  <si>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</si>
  <si>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</si>
  <si>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</si>
  <si>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</si>
  <si>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</si>
  <si>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</si>
  <si>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</si>
  <si>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</si>
  <si>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</si>
  <si>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</si>
  <si>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</si>
  <si>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</si>
  <si>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</si>
  <si>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</si>
  <si>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</si>
  <si>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</si>
  <si>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</si>
  <si>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</si>
  <si>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</si>
  <si>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</si>
  <si>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</si>
  <si>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</si>
  <si>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</si>
  <si>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</si>
  <si>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</si>
  <si>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</si>
  <si>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</si>
  <si>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</si>
  <si>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</si>
  <si>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</si>
  <si>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</si>
  <si>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</si>
  <si>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</si>
  <si>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</si>
  <si>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</si>
  <si>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</si>
  <si>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</si>
  <si>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</si>
  <si>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</si>
  <si>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</si>
  <si>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</si>
  <si>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</si>
  <si>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</si>
  <si>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</si>
  <si>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</si>
  <si>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</si>
  <si>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</si>
  <si>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</si>
  <si>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</si>
  <si>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</si>
  <si>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</si>
  <si>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</si>
  <si>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</si>
  <si>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</si>
  <si>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</si>
  <si>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</si>
  <si>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</si>
  <si>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</si>
  <si>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</si>
  <si>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</si>
  <si>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</si>
  <si>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</si>
  <si>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</si>
  <si>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</si>
  <si>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</si>
  <si>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</si>
  <si>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</si>
  <si>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</si>
  <si>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</si>
  <si>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</si>
  <si>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</si>
  <si>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</si>
  <si>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</si>
  <si>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</si>
  <si>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</si>
  <si>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</si>
  <si>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</si>
  <si>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</si>
  <si>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</si>
  <si>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</si>
  <si>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</si>
  <si>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</si>
  <si>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</si>
  <si>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</si>
  <si>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</si>
  <si>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</si>
  <si>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</si>
  <si>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</si>
  <si>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</si>
  <si>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</si>
  <si>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</si>
  <si>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</si>
  <si>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</si>
  <si>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</si>
  <si>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</si>
  <si>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</si>
  <si>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</si>
  <si>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</si>
  <si>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</si>
  <si>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</si>
  <si>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</si>
  <si>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</si>
  <si>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</si>
  <si>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</si>
  <si>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</si>
  <si>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</si>
  <si>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</si>
  <si>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</si>
  <si>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</si>
  <si>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</si>
  <si>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</si>
  <si>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</si>
  <si>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</si>
  <si>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</si>
  <si>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</si>
  <si>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</si>
  <si>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</si>
  <si>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</si>
  <si>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</si>
  <si>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</si>
  <si>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</si>
  <si>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</si>
  <si>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</si>
  <si>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</si>
  <si>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</si>
  <si>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</si>
  <si>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</si>
  <si>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</si>
  <si>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</si>
  <si>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</si>
  <si>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</si>
  <si>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</si>
  <si>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</si>
  <si>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</si>
  <si>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</si>
  <si>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</si>
  <si>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</si>
  <si>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</si>
  <si>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</si>
  <si>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</si>
  <si>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</si>
  <si>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</si>
  <si>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</si>
  <si>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</si>
  <si>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</si>
  <si>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</si>
  <si>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</si>
  <si>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</si>
  <si>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</si>
  <si>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</si>
  <si>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</si>
  <si>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</si>
  <si>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</si>
  <si>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</si>
  <si>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</si>
  <si>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</si>
  <si>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</si>
  <si>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</si>
  <si>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</si>
  <si>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</si>
  <si>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</si>
  <si>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</si>
  <si>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</si>
  <si>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</si>
  <si>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</si>
  <si>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</si>
  <si>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</si>
  <si>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</si>
  <si>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</si>
  <si>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</si>
  <si>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</si>
  <si>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</si>
  <si>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</si>
  <si>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</si>
  <si>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</si>
  <si>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</si>
  <si>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</si>
  <si>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</si>
  <si>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</si>
  <si>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</si>
  <si>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</si>
  <si>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</si>
  <si>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</si>
  <si>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</si>
  <si>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</si>
  <si>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</si>
  <si>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</si>
  <si>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</si>
  <si>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</si>
  <si>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</si>
  <si>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</si>
  <si>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</si>
  <si>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</si>
  <si>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</si>
  <si>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</si>
  <si>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</si>
  <si>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</si>
  <si>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</si>
  <si>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</si>
  <si>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</si>
  <si>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</si>
  <si>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</si>
  <si>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</si>
  <si>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</si>
  <si>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</si>
  <si>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</si>
  <si>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</si>
  <si>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</si>
  <si>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</si>
  <si>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</si>
  <si>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</si>
  <si>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</si>
  <si>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</si>
  <si>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</si>
  <si>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</si>
  <si>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</si>
  <si>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</si>
  <si>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</si>
  <si>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</si>
  <si>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</si>
  <si>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</si>
  <si>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</si>
  <si>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</si>
  <si>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</si>
  <si>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</si>
  <si>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</si>
  <si>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</si>
  <si>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</si>
  <si>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</si>
  <si>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</si>
  <si>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</si>
  <si>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</si>
  <si>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</si>
  <si>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</si>
  <si>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</si>
  <si>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</si>
  <si>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</si>
  <si>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</si>
  <si>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</si>
  <si>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</si>
  <si>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</si>
  <si>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</si>
  <si>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</si>
  <si>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</si>
  <si>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</si>
  <si>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</si>
  <si>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</si>
  <si>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</si>
  <si>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</si>
  <si>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</si>
  <si>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</si>
  <si>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</si>
  <si>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</si>
  <si>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</si>
  <si>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</si>
  <si>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</si>
  <si>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</si>
  <si>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</si>
  <si>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</si>
  <si>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</si>
  <si>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</si>
  <si>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</si>
  <si>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</si>
  <si>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</si>
  <si>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</si>
  <si>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</si>
  <si>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</si>
  <si>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</si>
  <si>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</si>
  <si>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</si>
  <si>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</si>
  <si>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</si>
  <si>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</si>
  <si>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</si>
  <si>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</si>
  <si>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</si>
  <si>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</si>
  <si>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</si>
  <si>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</si>
  <si>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</si>
  <si>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</si>
  <si>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</si>
  <si>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</si>
  <si>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</si>
  <si>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</si>
  <si>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</si>
  <si>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</si>
  <si>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</si>
  <si>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</si>
  <si>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</si>
  <si>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</si>
  <si>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</si>
  <si>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</si>
  <si>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</si>
  <si>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</si>
  <si>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</si>
  <si>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</si>
  <si>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</si>
  <si>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</si>
  <si>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</si>
  <si>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</si>
  <si>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</si>
  <si>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</si>
  <si>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</si>
  <si>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</si>
  <si>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</si>
  <si>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</si>
  <si>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</si>
  <si>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</si>
  <si>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</si>
  <si>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</si>
  <si>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</si>
  <si>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</si>
  <si>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</si>
  <si>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</si>
  <si>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</si>
  <si>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</si>
  <si>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</si>
  <si>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</si>
  <si>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</si>
  <si>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</si>
  <si>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</si>
  <si>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</si>
  <si>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</si>
  <si>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</si>
  <si>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</si>
  <si>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</si>
  <si>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</si>
  <si>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</si>
  <si>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</si>
  <si>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</si>
  <si>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</si>
  <si>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</si>
  <si>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</si>
  <si>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</si>
  <si>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</si>
  <si>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</si>
  <si>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</si>
  <si>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</si>
  <si>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</si>
  <si>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</si>
  <si>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</si>
  <si>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</si>
  <si>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</si>
  <si>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</si>
  <si>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</si>
  <si>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</si>
  <si>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</si>
  <si>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</si>
  <si>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</si>
  <si>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</si>
  <si>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</si>
  <si>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</si>
  <si>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</si>
  <si>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</si>
  <si>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</si>
  <si>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</si>
  <si>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</si>
  <si>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</si>
  <si>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</si>
  <si>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</si>
  <si>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</si>
  <si>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</si>
  <si>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</si>
  <si>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</si>
  <si>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</si>
  <si>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</si>
  <si>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</si>
  <si>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</si>
  <si>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</si>
  <si>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</si>
  <si>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</si>
  <si>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</si>
  <si>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</si>
  <si>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</si>
  <si>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</si>
  <si>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</si>
  <si>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</si>
  <si>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</si>
  <si>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</si>
  <si>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</si>
  <si>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</si>
  <si>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</si>
  <si>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</si>
  <si>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</si>
  <si>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</si>
  <si>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</si>
  <si>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</si>
  <si>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</si>
  <si>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</si>
  <si>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</si>
  <si>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</si>
  <si>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</si>
  <si>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</si>
  <si>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</si>
  <si>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</si>
  <si>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</si>
  <si>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</si>
  <si>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</si>
  <si>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</si>
  <si>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</si>
  <si>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</si>
  <si>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</si>
  <si>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</si>
  <si>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</si>
  <si>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</si>
  <si>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</si>
  <si>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</si>
  <si>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</si>
  <si>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</si>
  <si>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</si>
  <si>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</si>
  <si>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</si>
  <si>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</si>
  <si>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</si>
  <si>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</si>
  <si>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</si>
  <si>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</si>
  <si>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</si>
  <si>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</si>
  <si>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</si>
  <si>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</si>
  <si>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</si>
  <si>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</si>
  <si>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</si>
  <si>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</si>
  <si>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</si>
  <si>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</si>
  <si>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</si>
  <si>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</si>
  <si>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</si>
  <si>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</si>
  <si>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</si>
  <si>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</si>
  <si>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</si>
  <si>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</si>
  <si>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</si>
  <si>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</si>
  <si>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</si>
  <si>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</si>
  <si>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</si>
  <si>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</si>
  <si>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</si>
  <si>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</si>
  <si>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</si>
  <si>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</si>
  <si>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</si>
  <si>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</si>
  <si>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</si>
  <si>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</si>
  <si>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</si>
  <si>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</si>
  <si>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</si>
  <si>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</si>
  <si>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</si>
  <si>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</si>
  <si>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</si>
  <si>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</si>
  <si>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</si>
  <si>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</si>
  <si>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</si>
  <si>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</si>
  <si>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</si>
  <si>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</si>
  <si>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</si>
  <si>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</si>
  <si>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</si>
  <si>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</si>
  <si>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</si>
  <si>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</si>
  <si>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</si>
  <si>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</si>
  <si>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</si>
  <si>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</si>
  <si>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</si>
  <si>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</si>
  <si>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</si>
  <si>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</si>
  <si>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</si>
  <si>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</si>
  <si>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</si>
  <si>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</si>
  <si>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</si>
  <si>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</si>
  <si>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</si>
  <si>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</si>
  <si>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</si>
  <si>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</si>
  <si>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</si>
  <si>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</si>
  <si>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</si>
  <si>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</si>
  <si>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</si>
  <si>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</si>
  <si>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</si>
  <si>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</si>
  <si>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</si>
  <si>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</si>
  <si>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</si>
  <si>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</si>
  <si>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</si>
  <si>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</si>
  <si>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</si>
  <si>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</si>
  <si>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</si>
  <si>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</si>
  <si>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</si>
  <si>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</si>
  <si>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</si>
  <si>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</si>
  <si>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</si>
  <si>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</si>
  <si>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</si>
  <si>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</si>
  <si>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</si>
  <si>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</si>
  <si>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</si>
  <si>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</si>
  <si>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</si>
  <si>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</si>
  <si>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</si>
  <si>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</si>
  <si>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</si>
  <si>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</si>
  <si>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</si>
  <si>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</si>
  <si>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</si>
  <si>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</si>
  <si>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</si>
  <si>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</si>
  <si>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</si>
  <si>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</si>
  <si>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</si>
  <si>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</si>
  <si>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</si>
  <si>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</si>
  <si>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</si>
  <si>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</si>
  <si>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</si>
  <si>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</si>
  <si>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</si>
  <si>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</si>
  <si>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</si>
  <si>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</si>
  <si>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</si>
  <si>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</si>
  <si>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</si>
  <si>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</si>
  <si>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</si>
  <si>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</si>
  <si>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</si>
  <si>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</si>
  <si>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</si>
  <si>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</si>
  <si>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</si>
  <si>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</si>
  <si>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</si>
  <si>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</si>
  <si>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</si>
  <si>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</si>
  <si>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</si>
  <si>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</si>
  <si>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</si>
  <si>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</si>
  <si>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</si>
  <si>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</si>
  <si>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</si>
  <si>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</si>
  <si>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</si>
  <si>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</si>
  <si>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</si>
  <si>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</si>
  <si>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</si>
  <si>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</si>
  <si>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</si>
  <si>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</si>
  <si>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</si>
  <si>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</si>
  <si>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</si>
  <si>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</si>
  <si>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</si>
  <si>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</si>
  <si>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</si>
  <si>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</si>
  <si>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</si>
  <si>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</si>
  <si>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</si>
  <si>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</si>
  <si>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</si>
  <si>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</si>
  <si>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</si>
  <si>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</si>
  <si>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</si>
  <si>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</si>
  <si>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</si>
  <si>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</si>
  <si>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</si>
  <si>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</si>
  <si>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</si>
  <si>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</si>
  <si>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</si>
  <si>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</si>
  <si>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</si>
  <si>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</si>
  <si>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</si>
  <si>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</si>
  <si>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</si>
  <si>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</si>
  <si>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</si>
  <si>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</si>
  <si>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</si>
  <si>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</si>
  <si>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</si>
  <si>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</si>
  <si>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</si>
  <si>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</si>
  <si>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</si>
  <si>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</si>
  <si>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</si>
  <si>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</si>
  <si>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</si>
  <si>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</si>
  <si>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</si>
  <si>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</si>
  <si>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</si>
  <si>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</si>
  <si>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</si>
  <si>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</si>
  <si>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</si>
  <si>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</si>
  <si>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</si>
  <si>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</si>
  <si>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</si>
  <si>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</si>
  <si>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</si>
  <si>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</si>
  <si>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</si>
  <si>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</si>
  <si>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</si>
  <si>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</si>
  <si>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</si>
  <si>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</si>
  <si>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</si>
  <si>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</si>
  <si>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</si>
  <si>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</si>
  <si>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</si>
  <si>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</si>
  <si>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</si>
  <si>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</si>
  <si>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</si>
  <si>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</si>
  <si>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</si>
  <si>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</si>
  <si>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</si>
  <si>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</si>
  <si>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</si>
  <si>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</si>
  <si>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</si>
  <si>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</si>
  <si>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</si>
  <si>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</si>
  <si>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</si>
  <si>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</si>
  <si>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</si>
  <si>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</si>
  <si>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</si>
  <si>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</si>
  <si>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</si>
  <si>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</si>
  <si>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</si>
  <si>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</si>
  <si>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</si>
  <si>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</si>
  <si>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</si>
  <si>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</si>
  <si>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</si>
  <si>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</si>
  <si>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</si>
  <si>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</si>
  <si>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</si>
  <si>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</si>
  <si>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</si>
  <si>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</si>
  <si>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</si>
  <si>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</si>
  <si>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</si>
  <si>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</si>
  <si>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</si>
  <si>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</si>
  <si>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</si>
  <si>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</si>
  <si>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</si>
  <si>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</si>
  <si>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</si>
  <si>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</si>
  <si>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</si>
  <si>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</si>
  <si>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</si>
  <si>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</si>
  <si>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</si>
  <si>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</si>
  <si>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</si>
  <si>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</si>
  <si>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</si>
  <si>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</si>
  <si>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</si>
  <si>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</si>
  <si>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</si>
  <si>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</si>
  <si>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</si>
  <si>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</si>
  <si>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</si>
  <si>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</si>
  <si>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</si>
  <si>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</si>
  <si>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</si>
  <si>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</si>
  <si>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</si>
  <si>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</si>
  <si>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</si>
  <si>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</si>
  <si>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</si>
  <si>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</si>
  <si>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</si>
  <si>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</si>
  <si>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</si>
  <si>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</si>
  <si>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</si>
  <si>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</si>
  <si>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</si>
  <si>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</si>
  <si>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</si>
  <si>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</si>
  <si>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</si>
  <si>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</si>
  <si>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</si>
  <si>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</si>
  <si>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</si>
  <si>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</si>
  <si>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</si>
  <si>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</si>
  <si>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</si>
  <si>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</si>
  <si>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</si>
  <si>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</si>
  <si>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</si>
  <si>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</si>
  <si>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</si>
  <si>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</si>
  <si>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</si>
  <si>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</si>
  <si>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</si>
  <si>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</si>
  <si>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</si>
  <si>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</si>
  <si>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</si>
  <si>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</si>
  <si>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</si>
  <si>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</si>
  <si>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</si>
  <si>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</si>
  <si>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</si>
  <si>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</si>
  <si>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</si>
  <si>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</si>
  <si>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</si>
  <si>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</si>
  <si>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</si>
  <si>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</si>
  <si>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</si>
  <si>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</si>
  <si>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</si>
  <si>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</si>
  <si>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</si>
  <si>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</si>
  <si>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</si>
  <si>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</si>
  <si>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</si>
  <si>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</si>
  <si>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</si>
  <si>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</si>
  <si>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</si>
  <si>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</si>
  <si>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</si>
  <si>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</si>
  <si>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</si>
  <si>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</si>
  <si>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</si>
  <si>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</si>
  <si>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</si>
  <si>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</si>
  <si>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</si>
  <si>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</si>
  <si>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</si>
  <si>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</si>
  <si>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</si>
  <si>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</si>
  <si>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</si>
  <si>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</si>
  <si>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</si>
  <si>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</si>
  <si>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</si>
  <si>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</si>
  <si>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</si>
  <si>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</si>
  <si>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</si>
  <si>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</si>
  <si>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</si>
  <si>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</si>
  <si>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</si>
  <si>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</si>
  <si>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</si>
  <si>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</si>
  <si>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</si>
  <si>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</si>
  <si>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</si>
  <si>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</si>
  <si>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</si>
  <si>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</si>
  <si>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</si>
  <si>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</si>
  <si>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</si>
  <si>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</si>
  <si>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</si>
  <si>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</si>
  <si>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</si>
  <si>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</si>
  <si>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</si>
  <si>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</si>
  <si>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</si>
  <si>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</si>
  <si>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</si>
  <si>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</si>
  <si>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</si>
  <si>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</si>
  <si>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</si>
  <si>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</si>
  <si>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</si>
  <si>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</si>
  <si>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</si>
  <si>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</si>
  <si>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</si>
  <si>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</si>
  <si>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</si>
  <si>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</si>
  <si>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</si>
  <si>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</si>
  <si>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</si>
  <si>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</si>
  <si>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</si>
  <si>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</si>
  <si>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</si>
  <si>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</si>
  <si>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</si>
  <si>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</si>
  <si>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</si>
  <si>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</si>
  <si>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</si>
  <si>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</si>
  <si>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</si>
  <si>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</si>
  <si>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</si>
  <si>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</si>
  <si>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</si>
  <si>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</si>
  <si>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</si>
  <si>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</si>
  <si>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</si>
  <si>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</si>
  <si>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</si>
  <si>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</si>
  <si>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</si>
  <si>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</si>
  <si>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</si>
  <si>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</si>
  <si>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</si>
  <si>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</si>
  <si>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</si>
  <si>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</si>
  <si>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</si>
  <si>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</si>
  <si>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</si>
  <si>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</si>
  <si>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</si>
  <si>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</si>
  <si>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</si>
  <si>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</si>
  <si>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</si>
  <si>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</si>
  <si>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</si>
  <si>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</si>
  <si>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</si>
  <si>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</si>
  <si>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</si>
  <si>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</si>
  <si>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</si>
  <si>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</si>
  <si>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</si>
  <si>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</si>
  <si>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</si>
  <si>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</si>
  <si>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</si>
  <si>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</si>
  <si>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</si>
  <si>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</si>
  <si>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</si>
  <si>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</si>
  <si>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</si>
  <si>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</si>
  <si>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</si>
  <si>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</si>
  <si>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</si>
  <si>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</si>
  <si>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</si>
  <si>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</si>
  <si>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</si>
  <si>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</si>
  <si>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</si>
  <si>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</si>
  <si>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</si>
  <si>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</si>
  <si>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</si>
  <si>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</si>
  <si>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</si>
  <si>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</si>
  <si>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</si>
  <si>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</si>
  <si>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</si>
  <si>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</si>
  <si>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</si>
  <si>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</si>
  <si>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</si>
  <si>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</si>
  <si>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</si>
  <si>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</si>
  <si>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</si>
  <si>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</si>
  <si>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</si>
  <si>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</si>
  <si>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</si>
  <si>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</si>
  <si>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</si>
  <si>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</si>
  <si>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</si>
  <si>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</si>
  <si>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</si>
  <si>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</si>
  <si>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</si>
  <si>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</si>
  <si>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</si>
  <si>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</si>
  <si>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</si>
  <si>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</si>
  <si>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</si>
  <si>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</si>
  <si>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</si>
  <si>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</si>
  <si>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</si>
  <si>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</si>
  <si>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</si>
  <si>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</si>
  <si>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</si>
  <si>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</si>
  <si>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</si>
  <si>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</si>
  <si>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</si>
  <si>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</si>
  <si>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</si>
  <si>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</si>
  <si>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</si>
  <si>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</si>
  <si>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</si>
  <si>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</si>
  <si>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</si>
  <si>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</si>
  <si>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</si>
  <si>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</si>
  <si>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</si>
  <si>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</si>
  <si>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</si>
  <si>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</si>
  <si>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</si>
  <si>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</si>
  <si>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</si>
  <si>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</si>
  <si>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</si>
  <si>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</si>
  <si>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</si>
  <si>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</si>
  <si>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</si>
  <si>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</si>
  <si>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</si>
  <si>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</si>
  <si>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</si>
  <si>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</si>
  <si>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</si>
  <si>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</si>
  <si>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</si>
  <si>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</si>
  <si>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</si>
  <si>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</si>
  <si>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</si>
  <si>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</si>
  <si>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</si>
  <si>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</si>
  <si>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</si>
  <si>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</si>
  <si>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</si>
  <si>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</si>
  <si>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</si>
  <si>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</si>
  <si>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</si>
  <si>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</si>
  <si>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</si>
  <si>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</si>
  <si>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</si>
  <si>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</si>
  <si>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</si>
  <si>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</si>
  <si>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</si>
  <si>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</si>
  <si>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</si>
  <si>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</si>
  <si>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</si>
  <si>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</si>
  <si>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</si>
  <si>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</si>
  <si>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</si>
  <si>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</si>
  <si>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</si>
  <si>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</si>
  <si>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</si>
  <si>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</si>
  <si>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</si>
  <si>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</si>
  <si>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</si>
  <si>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</si>
  <si>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</si>
  <si>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</si>
  <si>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</si>
  <si>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</si>
  <si>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</si>
  <si>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</si>
  <si>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</si>
  <si>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</si>
  <si>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</si>
  <si>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</si>
  <si>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</si>
  <si>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</si>
  <si>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</si>
  <si>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</si>
  <si>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</si>
  <si>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</si>
  <si>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</si>
  <si>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</si>
  <si>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</si>
  <si>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</si>
  <si>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</si>
  <si>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</si>
  <si>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</si>
  <si>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</si>
  <si>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</si>
  <si>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</si>
  <si>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</si>
  <si>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</si>
  <si>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</si>
  <si>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</si>
  <si>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</si>
  <si>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</si>
  <si>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</si>
  <si>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</si>
  <si>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</si>
  <si>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</si>
  <si>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</si>
  <si>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</si>
  <si>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</si>
  <si>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</si>
  <si>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</si>
  <si>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</si>
  <si>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</si>
  <si>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</si>
  <si>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</si>
  <si>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</si>
  <si>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</si>
  <si>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</si>
  <si>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</si>
  <si>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</si>
  <si>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</si>
  <si>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</si>
  <si>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</si>
  <si>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</si>
  <si>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</si>
  <si>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</si>
  <si>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</si>
  <si>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</si>
  <si>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</si>
  <si>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</si>
  <si>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</si>
  <si>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</si>
  <si>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</si>
  <si>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</si>
  <si>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</si>
  <si>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</si>
  <si>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</si>
  <si>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</si>
  <si>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</si>
  <si>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</si>
  <si>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</si>
  <si>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</si>
  <si>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</si>
  <si>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</si>
  <si>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</si>
  <si>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</si>
  <si>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</si>
  <si>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</si>
  <si>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</si>
  <si>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</si>
  <si>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</si>
  <si>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</si>
  <si>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</si>
  <si>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</si>
  <si>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</si>
  <si>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</si>
  <si>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</si>
  <si>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</si>
  <si>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</si>
  <si>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</si>
  <si>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</si>
  <si>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</si>
  <si>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</si>
  <si>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</si>
  <si>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</si>
  <si>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</si>
  <si>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</si>
  <si>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</si>
  <si>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</si>
  <si>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</si>
  <si>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</si>
  <si>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</si>
  <si>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</si>
  <si>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</si>
  <si>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</si>
  <si>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</si>
  <si>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</si>
  <si>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</si>
  <si>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</si>
  <si>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</si>
  <si>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</si>
  <si>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</si>
  <si>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</si>
  <si>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</si>
  <si>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</si>
  <si>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</si>
  <si>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</si>
  <si>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</si>
  <si>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</si>
  <si>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</si>
  <si>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</si>
  <si>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</si>
  <si>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</si>
  <si>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</si>
  <si>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</si>
  <si>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</si>
  <si>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</si>
  <si>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</si>
  <si>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</si>
  <si>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</si>
  <si>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</si>
  <si>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</si>
  <si>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</si>
  <si>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</si>
  <si>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</si>
  <si>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</si>
  <si>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</si>
  <si>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</si>
  <si>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</si>
  <si>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</si>
  <si>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</si>
  <si>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</si>
  <si>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</si>
  <si>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</si>
  <si>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</si>
  <si>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</si>
  <si>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</si>
  <si>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</si>
  <si>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</si>
  <si>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</si>
  <si>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</si>
  <si>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</si>
  <si>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</si>
  <si>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</si>
  <si>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</si>
  <si>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</si>
  <si>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</si>
  <si>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</si>
  <si>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</si>
  <si>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</si>
  <si>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</si>
  <si>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</si>
  <si>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</si>
  <si>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</si>
  <si>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</si>
  <si>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</si>
  <si>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</si>
  <si>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</si>
  <si>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</si>
  <si>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</si>
  <si>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</si>
  <si>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</si>
  <si>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</si>
  <si>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</si>
  <si>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</si>
  <si>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</si>
  <si>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</si>
  <si>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</si>
  <si>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</si>
  <si>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</si>
  <si>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</si>
  <si>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</si>
  <si>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</si>
  <si>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</si>
  <si>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</si>
  <si>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</si>
  <si>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</si>
  <si>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</si>
  <si>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</si>
  <si>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</si>
  <si>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</si>
  <si>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</si>
  <si>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</si>
  <si>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</si>
  <si>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</si>
  <si>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</si>
  <si>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</si>
  <si>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</si>
  <si>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</si>
  <si>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</si>
  <si>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</si>
  <si>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</si>
  <si>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</si>
  <si>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</si>
  <si>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</si>
  <si>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</si>
  <si>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</si>
  <si>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</si>
  <si>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</si>
  <si>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</si>
  <si>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</si>
  <si>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</si>
  <si>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</si>
  <si>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</si>
  <si>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</si>
  <si>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</si>
  <si>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</si>
  <si>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</si>
  <si>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</si>
  <si>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</si>
  <si>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</si>
  <si>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</si>
  <si>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</si>
  <si>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</si>
  <si>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</si>
  <si>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</si>
  <si>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</si>
  <si>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</si>
  <si>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</si>
  <si>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</si>
  <si>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</si>
  <si>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</si>
  <si>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</si>
  <si>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</si>
  <si>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</si>
  <si>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</si>
  <si>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</si>
  <si>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</si>
  <si>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</si>
  <si>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</si>
  <si>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</si>
  <si>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</si>
  <si>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</si>
  <si>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</si>
  <si>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</si>
  <si>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</si>
  <si>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</si>
  <si>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</si>
  <si>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</si>
  <si>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</si>
  <si>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</si>
  <si>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</si>
  <si>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</si>
  <si>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</si>
  <si>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</si>
  <si>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</si>
  <si>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</si>
  <si>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</si>
  <si>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</si>
  <si>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</si>
  <si>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</si>
  <si>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</si>
  <si>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</si>
  <si>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</si>
  <si>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</si>
  <si>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</si>
  <si>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</si>
  <si>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</si>
  <si>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</si>
  <si>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</si>
  <si>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</si>
  <si>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</si>
  <si>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</si>
  <si>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</si>
  <si>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</si>
  <si>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</si>
  <si>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</si>
  <si>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</si>
  <si>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</si>
  <si>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</si>
  <si>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</si>
  <si>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</si>
  <si>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</si>
  <si>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</si>
  <si>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</si>
  <si>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</si>
  <si>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</si>
  <si>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</si>
  <si>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</si>
  <si>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</si>
  <si>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</si>
  <si>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</si>
  <si>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</si>
  <si>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</si>
  <si>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</si>
  <si>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</si>
  <si>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</si>
  <si>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</si>
  <si>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</si>
  <si>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</si>
  <si>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</si>
  <si>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</si>
  <si>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</si>
  <si>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</si>
  <si>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</si>
  <si>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</si>
  <si>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</si>
  <si>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</si>
  <si>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</si>
  <si>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</si>
  <si>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</si>
  <si>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</si>
  <si>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</si>
  <si>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</si>
  <si>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</si>
  <si>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</si>
  <si>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</si>
  <si>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</si>
  <si>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</si>
  <si>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</si>
  <si>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</si>
  <si>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</si>
  <si>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</si>
  <si>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</si>
  <si>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</si>
  <si>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</si>
  <si>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</si>
  <si>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</si>
  <si>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</si>
  <si>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</si>
  <si>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</si>
  <si>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</si>
  <si>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</si>
  <si>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</si>
  <si>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</si>
  <si>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</si>
  <si>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</si>
  <si>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</si>
  <si>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</si>
  <si>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</si>
  <si>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</si>
  <si>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</si>
  <si>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</si>
  <si>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</si>
  <si>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</si>
  <si>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</si>
  <si>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</si>
  <si>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</si>
  <si>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</si>
  <si>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</si>
  <si>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</si>
  <si>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</si>
  <si>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</si>
  <si>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</si>
  <si>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</si>
  <si>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</si>
  <si>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</si>
  <si>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</si>
  <si>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</si>
  <si>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</si>
  <si>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</si>
  <si>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</si>
  <si>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</si>
  <si>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</si>
  <si>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</si>
  <si>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</si>
  <si>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</si>
  <si>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</si>
  <si>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</si>
  <si>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</si>
  <si>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</si>
  <si>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</si>
  <si>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</si>
  <si>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</si>
  <si>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</si>
  <si>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</si>
  <si>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</si>
  <si>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</si>
  <si>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</si>
  <si>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</si>
  <si>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</si>
  <si>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</si>
  <si>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</si>
  <si>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</si>
  <si>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</si>
  <si>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</si>
  <si>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</si>
  <si>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</si>
  <si>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</si>
  <si>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</si>
  <si>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</si>
  <si>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</si>
  <si>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</si>
  <si>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</si>
  <si>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</si>
  <si>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</si>
  <si>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</si>
  <si>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</si>
  <si>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</si>
  <si>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</si>
  <si>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</si>
  <si>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</si>
  <si>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</si>
  <si>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</si>
  <si>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</si>
  <si>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</si>
  <si>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</si>
  <si>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</si>
  <si>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</si>
  <si>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</si>
  <si>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</si>
  <si>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</si>
  <si>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</si>
  <si>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</si>
  <si>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</si>
  <si>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</si>
  <si>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</si>
  <si>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</si>
  <si>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</si>
  <si>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</si>
  <si>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</si>
  <si>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</si>
  <si>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</si>
  <si>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</si>
  <si>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</si>
  <si>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</si>
  <si>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</si>
  <si>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</si>
  <si>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</si>
  <si>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</si>
  <si>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</si>
  <si>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</si>
  <si>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</si>
  <si>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</si>
  <si>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</si>
  <si>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</si>
  <si>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</si>
  <si>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</si>
  <si>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</si>
  <si>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</si>
  <si>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</si>
  <si>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</si>
  <si>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</si>
  <si>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</si>
  <si>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</si>
  <si>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</si>
  <si>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</si>
  <si>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</si>
  <si>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</si>
  <si>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</si>
  <si>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</si>
  <si>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</si>
  <si>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</si>
  <si>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</si>
  <si>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</si>
  <si>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</si>
  <si>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</si>
  <si>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</si>
  <si>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</si>
  <si>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</si>
  <si>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</si>
  <si>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</si>
  <si>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</si>
  <si>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</si>
  <si>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</si>
  <si>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</si>
  <si>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</si>
  <si>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</si>
  <si>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</si>
  <si>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</si>
  <si>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</si>
  <si>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</si>
  <si>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</si>
  <si>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</si>
  <si>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</si>
  <si>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</si>
  <si>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</si>
  <si>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</si>
  <si>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</si>
  <si>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</si>
  <si>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</si>
  <si>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</si>
  <si>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</si>
  <si>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</si>
  <si>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</si>
  <si>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</si>
  <si>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</si>
  <si>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</si>
  <si>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</si>
  <si>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</si>
  <si>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</si>
  <si>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</si>
  <si>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</si>
  <si>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</si>
  <si>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</si>
  <si>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</si>
  <si>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</si>
  <si>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</si>
  <si>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</si>
  <si>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</si>
  <si>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</si>
  <si>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</si>
  <si>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</si>
  <si>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</si>
  <si>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</si>
  <si>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</si>
  <si>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</si>
  <si>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</si>
  <si>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</si>
  <si>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</si>
  <si>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</si>
  <si>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</si>
  <si>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</si>
  <si>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</si>
  <si>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</si>
  <si>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</si>
  <si>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</si>
  <si>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</si>
  <si>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</si>
  <si>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</si>
  <si>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</si>
  <si>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</si>
  <si>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</si>
  <si>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</si>
  <si>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</si>
  <si>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</si>
  <si>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</si>
  <si>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</si>
  <si>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</si>
  <si>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</si>
  <si>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</si>
  <si>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</si>
  <si>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</si>
  <si>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</si>
  <si>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</si>
  <si>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</si>
  <si>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</si>
  <si>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</si>
  <si>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</si>
  <si>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</si>
  <si>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</si>
  <si>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</si>
  <si>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</si>
  <si>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</si>
  <si>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</si>
  <si>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</si>
  <si>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</si>
  <si>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</si>
  <si>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</si>
  <si>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</si>
  <si>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</si>
  <si>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</si>
  <si>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</si>
  <si>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</si>
  <si>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</si>
  <si>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</si>
  <si>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</si>
  <si>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</si>
  <si>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</si>
  <si>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</si>
  <si>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</si>
  <si>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</si>
  <si>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</si>
  <si>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</si>
  <si>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</si>
  <si>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</si>
  <si>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</si>
  <si>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</si>
  <si>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</si>
  <si>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</si>
  <si>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</si>
  <si>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</si>
  <si>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</si>
  <si>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</si>
  <si>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</si>
  <si>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</si>
  <si>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</si>
  <si>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</si>
  <si>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</si>
  <si>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</si>
  <si>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</si>
  <si>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</si>
  <si>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</si>
  <si>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</si>
  <si>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</si>
  <si>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</si>
  <si>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</si>
  <si>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</si>
  <si>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</si>
  <si>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</si>
  <si>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</si>
  <si>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</si>
  <si>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</si>
  <si>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</si>
  <si>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</si>
  <si>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</si>
  <si>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</si>
  <si>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</si>
  <si>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</si>
  <si>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</si>
  <si>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</si>
  <si>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</si>
  <si>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</si>
  <si>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</si>
  <si>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</si>
  <si>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</si>
  <si>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</si>
  <si>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</si>
  <si>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</si>
  <si>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</si>
  <si>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</si>
  <si>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</si>
  <si>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</si>
  <si>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</si>
  <si>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</si>
  <si>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</si>
  <si>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</si>
  <si>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</si>
  <si>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</si>
  <si>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</si>
  <si>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</si>
  <si>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</si>
  <si>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</si>
  <si>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</si>
  <si>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</si>
  <si>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</si>
  <si>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</si>
  <si>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</si>
  <si>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</si>
  <si>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</si>
  <si>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</si>
  <si>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</si>
  <si>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</si>
  <si>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</si>
  <si>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</si>
  <si>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</si>
  <si>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</si>
  <si>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</si>
  <si>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</si>
  <si>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</si>
  <si>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</si>
  <si>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</si>
  <si>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</si>
  <si>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</si>
  <si>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</si>
  <si>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</si>
  <si>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</si>
  <si>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</si>
  <si>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</si>
  <si>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</si>
  <si>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</si>
  <si>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</si>
  <si>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</si>
  <si>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</si>
  <si>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</si>
  <si>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</si>
  <si>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</si>
  <si>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</si>
  <si>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</si>
  <si>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</si>
  <si>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</si>
  <si>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</si>
  <si>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</si>
  <si>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</si>
  <si>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</si>
  <si>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</si>
  <si>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</si>
  <si>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</si>
  <si>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</si>
  <si>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</si>
  <si>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</si>
  <si>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</si>
  <si>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</si>
  <si>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</si>
  <si>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</si>
  <si>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</si>
  <si>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</si>
  <si>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</si>
  <si>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</si>
  <si>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</si>
  <si>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</si>
  <si>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</si>
  <si>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</si>
  <si>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</si>
  <si>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</si>
  <si>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</si>
  <si>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</si>
  <si>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</si>
  <si>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</si>
  <si>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</si>
  <si>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</si>
  <si>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</si>
  <si>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</si>
  <si>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</si>
  <si>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</si>
  <si>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</si>
  <si>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</si>
  <si>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</si>
  <si>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</si>
  <si>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</si>
  <si>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</si>
  <si>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</si>
  <si>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</si>
  <si>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</si>
  <si>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</si>
  <si>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</si>
  <si>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</si>
  <si>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</si>
  <si>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</si>
  <si>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</si>
  <si>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</si>
  <si>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</si>
  <si>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</si>
  <si>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</si>
  <si>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</si>
  <si>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</si>
  <si>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</si>
  <si>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</si>
  <si>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</si>
  <si>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</si>
  <si>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</si>
  <si>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</si>
  <si>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</si>
  <si>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</si>
  <si>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</si>
  <si>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</si>
  <si>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</si>
  <si>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</si>
  <si>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</si>
  <si>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</si>
  <si>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</si>
  <si>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</si>
  <si>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</si>
  <si>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</si>
  <si>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</si>
  <si>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</si>
  <si>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</si>
  <si>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</si>
  <si>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</si>
  <si>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</si>
  <si>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</si>
  <si>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</si>
  <si>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</si>
  <si>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</si>
  <si>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</si>
  <si>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</si>
  <si>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</si>
  <si>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</si>
  <si>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</si>
  <si>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</si>
  <si>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</si>
  <si>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</si>
  <si>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</si>
  <si>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</si>
  <si>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</si>
  <si>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</si>
  <si>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</si>
  <si>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</si>
  <si>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</si>
  <si>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</si>
  <si>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</si>
  <si>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</si>
  <si>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</si>
  <si>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</si>
  <si>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</si>
  <si>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</si>
  <si>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</si>
  <si>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</si>
  <si>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</si>
  <si>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</si>
  <si>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</si>
  <si>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</si>
  <si>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</si>
  <si>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</si>
  <si>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</si>
  <si>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</si>
  <si>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</si>
  <si>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</si>
  <si>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</si>
  <si>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</si>
  <si>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</si>
  <si>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</si>
  <si>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</si>
  <si>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</si>
  <si>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</si>
  <si>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</si>
  <si>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</si>
  <si>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</si>
  <si>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</si>
  <si>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</si>
  <si>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</si>
  <si>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</si>
  <si>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</si>
  <si>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</si>
  <si>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</si>
  <si>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</si>
  <si>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</si>
  <si>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</si>
  <si>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</si>
  <si>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</si>
  <si>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</si>
  <si>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</si>
  <si>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</si>
  <si>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</si>
  <si>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</si>
  <si>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</si>
  <si>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</si>
  <si>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</si>
  <si>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</si>
  <si>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</si>
  <si>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</si>
  <si>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</si>
  <si>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</si>
  <si>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</si>
  <si>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</si>
  <si>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</si>
  <si>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</si>
  <si>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</si>
  <si>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</si>
  <si>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</si>
  <si>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</si>
  <si>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</si>
  <si>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</si>
  <si>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</si>
  <si>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</si>
  <si>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</si>
  <si>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</si>
  <si>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</si>
  <si>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</si>
  <si>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</si>
  <si>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</si>
  <si>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</si>
  <si>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</si>
  <si>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</si>
  <si>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</si>
  <si>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</si>
  <si>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</si>
  <si>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</si>
  <si>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</si>
  <si>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</si>
  <si>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</si>
  <si>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</si>
  <si>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</si>
  <si>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</si>
  <si>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</si>
  <si>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</si>
  <si>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</si>
  <si>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</si>
  <si>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</si>
  <si>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</si>
  <si>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</si>
  <si>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</si>
  <si>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</si>
  <si>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</si>
  <si>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</si>
  <si>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</si>
  <si>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</si>
  <si>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</si>
  <si>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</si>
  <si>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</si>
  <si>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</si>
  <si>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</si>
  <si>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</si>
  <si>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</si>
  <si>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</si>
  <si>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</si>
  <si>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</si>
  <si>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</si>
  <si>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</si>
  <si>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</si>
  <si>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</si>
  <si>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</si>
  <si>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</si>
  <si>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</si>
  <si>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</si>
  <si>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</si>
  <si>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</si>
  <si>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</si>
  <si>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</si>
  <si>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</si>
  <si>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</si>
  <si>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</si>
  <si>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</si>
  <si>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</si>
  <si>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</si>
  <si>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</si>
  <si>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</si>
  <si>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</si>
  <si>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</si>
  <si>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</si>
  <si>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</si>
  <si>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</si>
  <si>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</si>
  <si>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</si>
  <si>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</si>
  <si>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</si>
  <si>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</si>
  <si>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</si>
  <si>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</si>
  <si>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</si>
  <si>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</si>
  <si>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</si>
  <si>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</si>
  <si>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</si>
  <si>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</si>
  <si>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</si>
  <si>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</si>
  <si>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</si>
  <si>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</si>
  <si>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</si>
  <si>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</si>
  <si>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</si>
  <si>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</si>
  <si>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</si>
  <si>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</si>
  <si>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</si>
  <si>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</si>
  <si>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</si>
  <si>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</si>
  <si>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</si>
  <si>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</si>
  <si>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</si>
  <si>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</si>
  <si>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</si>
  <si>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</si>
  <si>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</si>
  <si>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</si>
  <si>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</si>
  <si>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</si>
  <si>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</si>
  <si>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</si>
  <si>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</si>
  <si>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</si>
  <si>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</si>
  <si>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</si>
  <si>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</si>
  <si>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</si>
  <si>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</si>
  <si>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</si>
  <si>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</si>
  <si>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</si>
  <si>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</si>
  <si>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</si>
  <si>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</si>
  <si>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</si>
  <si>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</si>
  <si>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</si>
  <si>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</si>
  <si>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</si>
  <si>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</si>
  <si>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</si>
  <si>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</si>
  <si>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</si>
  <si>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</si>
  <si>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</si>
  <si>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</si>
  <si>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</si>
  <si>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</si>
  <si>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</si>
  <si>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</si>
  <si>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</si>
  <si>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</si>
  <si>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</si>
  <si>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</si>
  <si>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</si>
  <si>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</si>
  <si>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</si>
  <si>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</si>
  <si>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</si>
  <si>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</si>
  <si>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</si>
  <si>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</si>
  <si>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</si>
  <si>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</si>
  <si>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</si>
  <si>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</si>
  <si>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</si>
  <si>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</si>
  <si>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</si>
  <si>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</si>
  <si>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</si>
  <si>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</si>
  <si>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</si>
  <si>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</si>
  <si>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</si>
  <si>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</si>
  <si>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</si>
  <si>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</si>
  <si>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</si>
  <si>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</si>
  <si>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</si>
  <si>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</si>
  <si>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</si>
  <si>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</si>
  <si>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</si>
  <si>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</si>
  <si>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</si>
  <si>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</si>
  <si>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</si>
  <si>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</si>
  <si>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</si>
  <si>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</si>
  <si>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</si>
  <si>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</si>
  <si>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</si>
  <si>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</si>
  <si>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</si>
  <si>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</si>
  <si>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</si>
  <si>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</si>
  <si>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</si>
  <si>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</si>
  <si>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</si>
  <si>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</si>
  <si>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</si>
  <si>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</si>
  <si>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</si>
  <si>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</si>
  <si>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</si>
  <si>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</si>
  <si>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</si>
  <si>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</si>
  <si>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</si>
  <si>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</si>
  <si>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</si>
  <si>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</si>
  <si>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</si>
  <si>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</si>
  <si>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</si>
  <si>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</si>
  <si>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</si>
  <si>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</si>
  <si>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</si>
  <si>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</si>
  <si>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</si>
  <si>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</si>
  <si>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</si>
  <si>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</si>
  <si>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</si>
  <si>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</si>
  <si>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</si>
  <si>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</si>
  <si>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</si>
  <si>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</si>
  <si>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</si>
  <si>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</si>
  <si>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</si>
  <si>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</si>
  <si>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</si>
  <si>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</si>
  <si>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</si>
  <si>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</si>
  <si>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</si>
  <si>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</si>
  <si>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</si>
  <si>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</si>
  <si>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</si>
  <si>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</si>
  <si>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</si>
  <si>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</si>
  <si>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</si>
  <si>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</si>
  <si>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</si>
  <si>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</si>
  <si>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</si>
  <si>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</si>
  <si>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</si>
  <si>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</si>
  <si>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</si>
  <si>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</si>
  <si>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</si>
  <si>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</si>
  <si>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</si>
  <si>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</si>
  <si>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</si>
  <si>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</si>
  <si>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</si>
  <si>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</si>
  <si>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</si>
  <si>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</si>
  <si>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</si>
  <si>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</si>
  <si>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</si>
  <si>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</si>
  <si>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</si>
  <si>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</si>
  <si>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</si>
  <si>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</si>
  <si>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</si>
  <si>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</si>
  <si>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</si>
  <si>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</si>
  <si>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</si>
  <si>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</si>
  <si>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</si>
  <si>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</si>
  <si>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</si>
  <si>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</si>
  <si>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</si>
  <si>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</si>
  <si>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</si>
  <si>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</si>
  <si>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</si>
  <si>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</si>
  <si>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</si>
  <si>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</si>
  <si>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</si>
  <si>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</si>
  <si>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</si>
  <si>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</si>
  <si>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</si>
  <si>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</si>
  <si>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</si>
  <si>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</si>
  <si>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</si>
  <si>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</si>
  <si>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</si>
  <si>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</si>
  <si>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</si>
  <si>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</si>
  <si>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</si>
  <si>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</si>
  <si>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</si>
  <si>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</si>
  <si>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</si>
  <si>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</si>
  <si>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</si>
  <si>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</si>
  <si>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</si>
  <si>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</si>
  <si>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</si>
  <si>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</si>
  <si>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</si>
  <si>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</si>
  <si>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</si>
  <si>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</si>
  <si>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</si>
  <si>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</si>
  <si>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</si>
  <si>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</si>
  <si>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</si>
  <si>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</si>
  <si>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</si>
  <si>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</si>
  <si>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</si>
  <si>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</si>
  <si>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</si>
  <si>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</si>
  <si>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</si>
  <si>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</si>
  <si>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</si>
  <si>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</si>
  <si>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</si>
  <si>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</si>
  <si>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</si>
  <si>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</si>
  <si>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</si>
  <si>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</si>
  <si>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</si>
  <si>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</si>
  <si>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</si>
  <si>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</si>
  <si>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</si>
  <si>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</si>
  <si>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</si>
  <si>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</si>
  <si>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</si>
  <si>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</si>
  <si>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</si>
  <si>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</si>
  <si>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</si>
  <si>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</si>
  <si>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</si>
  <si>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</si>
  <si>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</si>
  <si>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</si>
  <si>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</si>
  <si>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</si>
  <si>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</si>
  <si>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</si>
  <si>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</si>
  <si>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</si>
  <si>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</si>
  <si>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</si>
  <si>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</si>
  <si>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</si>
  <si>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</si>
  <si>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</si>
  <si>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</si>
  <si>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</si>
  <si>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</si>
  <si>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</si>
  <si>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</si>
  <si>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</si>
  <si>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</si>
  <si>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</si>
  <si>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</si>
  <si>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</si>
  <si>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</si>
  <si>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</si>
  <si>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</si>
  <si>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</si>
  <si>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</si>
  <si>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</si>
  <si>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</si>
  <si>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</si>
  <si>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</si>
  <si>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</si>
  <si>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</si>
  <si>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</si>
  <si>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</si>
  <si>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</si>
  <si>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</si>
  <si>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</si>
  <si>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</si>
  <si>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</si>
  <si>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</si>
  <si>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</si>
  <si>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</si>
  <si>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</si>
  <si>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</si>
  <si>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</si>
  <si>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</si>
  <si>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</si>
  <si>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</si>
  <si>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</si>
  <si>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</si>
  <si>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</si>
  <si>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</si>
  <si>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</si>
  <si>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</si>
  <si>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</si>
  <si>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</si>
  <si>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</si>
  <si>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</si>
  <si>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</si>
  <si>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</si>
  <si>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</si>
  <si>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</si>
  <si>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</si>
  <si>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</si>
  <si>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</si>
  <si>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</si>
  <si>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</si>
  <si>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</si>
  <si>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</si>
  <si>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</si>
  <si>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</si>
  <si>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</si>
  <si>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</si>
  <si>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</si>
  <si>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</si>
  <si>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</si>
  <si>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</si>
  <si>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</si>
  <si>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</si>
  <si>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</si>
  <si>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</si>
  <si>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</si>
  <si>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</si>
  <si>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</si>
  <si>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</si>
  <si>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</si>
  <si>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</si>
  <si>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</si>
  <si>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</si>
  <si>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</si>
  <si>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</si>
  <si>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</si>
  <si>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</si>
  <si>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</si>
  <si>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</si>
  <si>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</si>
  <si>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</si>
  <si>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</si>
  <si>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</si>
  <si>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</si>
  <si>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</si>
  <si>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</si>
  <si>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</si>
  <si>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</si>
  <si>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</si>
  <si>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</si>
  <si>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</si>
  <si>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</si>
  <si>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</si>
  <si>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</si>
  <si>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</si>
  <si>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</si>
  <si>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</si>
  <si>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</si>
  <si>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</si>
  <si>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</si>
  <si>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id</t>
  </si>
  <si>
    <t>Row Labels</t>
  </si>
  <si>
    <t>Grand Total</t>
  </si>
  <si>
    <t>Column Labels</t>
  </si>
  <si>
    <t>(All)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</si>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</sst>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64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1!PivotTable6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980314960629918"/>
          <c:y val="2.5428331875182269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BE-B243-A79E-890F077C162E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BE-B243-A79E-890F077C162E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BE-B243-A79E-890F077C162E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BE-B243-A79E-890F077C1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213808"/>
        <c:axId val="105093792"/>
      </c:barChart>
      <c:catAx>
        <c:axId val="10521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93792"/>
        <c:crosses val="autoZero"/>
        <c:auto val="1"/>
        <c:lblAlgn val="ctr"/>
        <c:lblOffset val="100"/>
        <c:noMultiLvlLbl val="0"/>
      </c:catAx>
      <c:valAx>
        <c:axId val="10509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1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2!PivotTable7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57-084F-BE3C-4F69F5BC1620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57-084F-BE3C-4F69F5BC1620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57-084F-BE3C-4F69F5BC1620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57-084F-BE3C-4F69F5BC1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7257503"/>
        <c:axId val="101314144"/>
      </c:barChart>
      <c:catAx>
        <c:axId val="186725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14144"/>
        <c:crosses val="autoZero"/>
        <c:auto val="1"/>
        <c:lblAlgn val="ctr"/>
        <c:lblOffset val="100"/>
        <c:noMultiLvlLbl val="0"/>
      </c:catAx>
      <c:valAx>
        <c:axId val="10131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25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3!PivotTable8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A4-7140-B529-879D6CD47320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6A4-7140-B529-879D6CD47320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6A4-7140-B529-879D6CD47320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6A4-7140-B529-879D6CD47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715679"/>
        <c:axId val="546523983"/>
      </c:lineChart>
      <c:catAx>
        <c:axId val="51571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523983"/>
        <c:crosses val="autoZero"/>
        <c:auto val="1"/>
        <c:lblAlgn val="ctr"/>
        <c:lblOffset val="100"/>
        <c:noMultiLvlLbl val="0"/>
      </c:catAx>
      <c:valAx>
        <c:axId val="54652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71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vs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Data'!$F$1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Data'!$F$2:$F$13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81-BE49-9A3E-581BC492E778}"/>
            </c:ext>
          </c:extLst>
        </c:ser>
        <c:ser>
          <c:idx val="1"/>
          <c:order val="1"/>
          <c:tx>
            <c:strRef>
              <c:f>'Bonus Data'!$G$1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Data'!$G$2:$G$13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81-BE49-9A3E-581BC492E778}"/>
            </c:ext>
          </c:extLst>
        </c:ser>
        <c:ser>
          <c:idx val="2"/>
          <c:order val="2"/>
          <c:tx>
            <c:strRef>
              <c:f>'Bonus Data'!$H$1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Data'!$H$2:$H$13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81-BE49-9A3E-581BC492E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011615"/>
        <c:axId val="552760399"/>
      </c:lineChart>
      <c:catAx>
        <c:axId val="55301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760399"/>
        <c:crosses val="autoZero"/>
        <c:auto val="1"/>
        <c:lblAlgn val="ctr"/>
        <c:lblOffset val="100"/>
        <c:noMultiLvlLbl val="0"/>
      </c:catAx>
      <c:valAx>
        <c:axId val="55276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01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95250</xdr:rowOff>
    </xdr:from>
    <xdr:to>
      <xdr:col>16</xdr:col>
      <xdr:colOff>25400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AD0299-DE6B-FE44-A4F0-6AA5AAC7A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6</xdr:row>
      <xdr:rowOff>95250</xdr:rowOff>
    </xdr:from>
    <xdr:to>
      <xdr:col>14</xdr:col>
      <xdr:colOff>685800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4032F1-3051-E949-ABBA-0C864A32D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1</xdr:row>
      <xdr:rowOff>31750</xdr:rowOff>
    </xdr:from>
    <xdr:to>
      <xdr:col>13</xdr:col>
      <xdr:colOff>571500</xdr:colOff>
      <xdr:row>20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7C0E93-2D1F-8347-A349-406E71663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904240</xdr:colOff>
      <xdr:row>14</xdr:row>
      <xdr:rowOff>133350</xdr:rowOff>
    </xdr:from>
    <xdr:to>
      <xdr:col>7</xdr:col>
      <xdr:colOff>114300</xdr:colOff>
      <xdr:row>32</xdr:row>
      <xdr:rowOff>71120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ED3D3A-016F-B341-B096-17D3159CF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6.529459722224" createdVersion="6" refreshedVersion="6" minRefreshableVersion="3" recordCount="4114" xr:uid="{F2BF255D-1DE9-024B-A538-F759C376836C}">
  <cacheSource type="worksheet">
    <worksheetSource ref="A1:R4115" sheet="Initial 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6.58397777778" createdVersion="6" refreshedVersion="6" minRefreshableVersion="3" recordCount="4114" xr:uid="{067A6C7A-FBCF-EF4D-9A41-CE3FC6AD50CA}">
  <cacheSource type="worksheet">
    <worksheetSource ref="A1:T4115" sheet="Initial 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9A617F-F176-6244-8D24-FEB05FF02D71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45608B-9C0B-1D41-8F41-47C1A2633D5B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CD5A8C-F871-5740-BD2F-C032710BBFC1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4102" zoomScaleNormal="55" workbookViewId="0">
      <selection activeCell="R2" sqref="R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22" bestFit="1" customWidth="1"/>
    <col min="18" max="18" width="17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IF(D2 = 0,0,(E2/D2)*100)</f>
        <v>136.85882352941178</v>
      </c>
      <c r="P2" s="6">
        <f>IF(E2=0,0,E2/L2)</f>
        <v>63.917582417582416</v>
      </c>
      <c r="Q2" t="str">
        <f>LEFT(N2,FIND("/",N2) - 1)</f>
        <v>film &amp; video</v>
      </c>
      <c r="R2" t="str">
        <f>RIGHT(N2, LEN(N2) - FIND("/",N2) 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IF(D3 = 0,0,(E3/D3)*100)</f>
        <v>142.60827250608273</v>
      </c>
      <c r="P3" s="6">
        <f t="shared" ref="P3:P66" si="1">IF(E3=0,0,E3/L3)</f>
        <v>185.48101265822785</v>
      </c>
      <c r="Q3" t="str">
        <f t="shared" ref="Q3:Q66" si="2">LEFT(N3,FIND("/",N3) - 1)</f>
        <v>film &amp; video</v>
      </c>
      <c r="R3" t="str">
        <f t="shared" ref="R3:R66" si="3">RIGHT(N3, LEN(N3) - FIND("/",N3) )</f>
        <v>television</v>
      </c>
      <c r="S3" s="10">
        <f t="shared" ref="S3:S66" si="4">(((J3/60)/60)/24)+DATE(1970,1,1)+(-5/24)</f>
        <v>42766.392164351848</v>
      </c>
      <c r="T3" s="10">
        <f t="shared" ref="T3:T66" si="5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IF(D67 = 0,0,(E67/D67)*100)</f>
        <v>107.52857142857141</v>
      </c>
      <c r="P67" s="6">
        <f t="shared" ref="P67:P130" si="7">IF(E67=0,0,E67/L67)</f>
        <v>132.05263157894737</v>
      </c>
      <c r="Q67" t="str">
        <f t="shared" ref="Q67:Q130" si="8">LEFT(N67,FIND("/",N67) - 1)</f>
        <v>film &amp; video</v>
      </c>
      <c r="R67" t="str">
        <f t="shared" ref="R67:R130" si="9">RIGHT(N67, LEN(N67) - FIND("/",N67) )</f>
        <v>shorts</v>
      </c>
      <c r="S67" s="10">
        <f t="shared" ref="S67:S130" si="10">(((J67/60)/60)/24)+DATE(1970,1,1)+(-5/24)</f>
        <v>41835.612893518519</v>
      </c>
      <c r="T67" s="10">
        <f t="shared" ref="T67:T130" si="11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0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IF(D131 = 0,0,(E131/D131)*100)</f>
        <v>0</v>
      </c>
      <c r="P131" s="6">
        <f t="shared" ref="P131:P194" si="13">IF(E131=0,0,E131/L131)</f>
        <v>0</v>
      </c>
      <c r="Q131" t="str">
        <f t="shared" ref="Q131:Q194" si="14">LEFT(N131,FIND("/",N131) - 1)</f>
        <v>film &amp; video</v>
      </c>
      <c r="R131" t="str">
        <f t="shared" ref="R131:R194" si="15">RIGHT(N131, LEN(N131) - FIND("/",N131) )</f>
        <v>science fiction</v>
      </c>
      <c r="S131" s="10">
        <f t="shared" ref="S131:S194" si="16">(((J131/60)/60)/24)+DATE(1970,1,1)+(-5/24)</f>
        <v>41882.728969907403</v>
      </c>
      <c r="T131" s="10">
        <f t="shared" ref="T131:T194" si="17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IF(D195 = 0,0,(E195/D195)*100)</f>
        <v>0</v>
      </c>
      <c r="P195" s="6">
        <f t="shared" ref="P195:P258" si="19">IF(E195=0,0,E195/L195)</f>
        <v>0</v>
      </c>
      <c r="Q195" t="str">
        <f t="shared" ref="Q195:Q258" si="20">LEFT(N195,FIND("/",N195) - 1)</f>
        <v>film &amp; video</v>
      </c>
      <c r="R195" t="str">
        <f t="shared" ref="R195:R258" si="21">RIGHT(N195, LEN(N195) - FIND("/",N195) )</f>
        <v>drama</v>
      </c>
      <c r="S195" s="10">
        <f t="shared" ref="S195:S258" si="22">(((J195/60)/60)/24)+DATE(1970,1,1)+(-5/24)</f>
        <v>41911.726458333331</v>
      </c>
      <c r="T195" s="10">
        <f t="shared" ref="T195:T258" si="23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IF(D259 = 0,0,(E259/D259)*100)</f>
        <v>106.72648571428572</v>
      </c>
      <c r="P259" s="6">
        <f t="shared" ref="P259:P322" si="25">IF(E259=0,0,E259/L259)</f>
        <v>66.70405357142856</v>
      </c>
      <c r="Q259" t="str">
        <f t="shared" ref="Q259:Q322" si="26">LEFT(N259,FIND("/",N259) - 1)</f>
        <v>film &amp; video</v>
      </c>
      <c r="R259" t="str">
        <f t="shared" ref="R259:R322" si="27">RIGHT(N259, LEN(N259) - FIND("/",N259) )</f>
        <v>documentary</v>
      </c>
      <c r="S259" s="10">
        <f t="shared" ref="S259:S322" si="28">(((J259/60)/60)/24)+DATE(1970,1,1)+(-5/24)</f>
        <v>42479.418541666666</v>
      </c>
      <c r="T259" s="10">
        <f t="shared" ref="T259:T322" si="2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IF(D323 = 0,0,(E323/D323)*100)</f>
        <v>102.66285714285715</v>
      </c>
      <c r="P323" s="6">
        <f t="shared" ref="P323:P386" si="31">IF(E323=0,0,E323/L323)</f>
        <v>106.62314540059347</v>
      </c>
      <c r="Q323" t="str">
        <f t="shared" ref="Q323:Q386" si="32">LEFT(N323,FIND("/",N323) - 1)</f>
        <v>film &amp; video</v>
      </c>
      <c r="R323" t="str">
        <f t="shared" ref="R323:R386" si="33">RIGHT(N323, LEN(N323) - FIND("/",N323) )</f>
        <v>documentary</v>
      </c>
      <c r="S323" s="10">
        <f t="shared" ref="S323:S386" si="34">(((J323/60)/60)/24)+DATE(1970,1,1)+(-5/24)</f>
        <v>42647.238263888888</v>
      </c>
      <c r="T323" s="10">
        <f t="shared" ref="T323:T386" si="35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IF(D387 = 0,0,(E387/D387)*100)</f>
        <v>105.982</v>
      </c>
      <c r="P387" s="6">
        <f t="shared" ref="P387:P450" si="37">IF(E387=0,0,E387/L387)</f>
        <v>111.79535864978902</v>
      </c>
      <c r="Q387" t="str">
        <f t="shared" ref="Q387:Q450" si="38">LEFT(N387,FIND("/",N387) - 1)</f>
        <v>film &amp; video</v>
      </c>
      <c r="R387" t="str">
        <f t="shared" ref="R387:R450" si="39">RIGHT(N387, LEN(N387) - FIND("/",N387) )</f>
        <v>documentary</v>
      </c>
      <c r="S387" s="10">
        <f t="shared" ref="S387:S450" si="40">(((J387/60)/60)/24)+DATE(1970,1,1)+(-5/24)</f>
        <v>41934.376168981478</v>
      </c>
      <c r="T387" s="10">
        <f t="shared" ref="T387:T450" si="41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IF(D451 = 0,0,(E451/D451)*100)</f>
        <v>2.25</v>
      </c>
      <c r="P451" s="6">
        <f t="shared" ref="P451:P514" si="43">IF(E451=0,0,E451/L451)</f>
        <v>9</v>
      </c>
      <c r="Q451" t="str">
        <f t="shared" ref="Q451:Q514" si="44">LEFT(N451,FIND("/",N451) - 1)</f>
        <v>film &amp; video</v>
      </c>
      <c r="R451" t="str">
        <f t="shared" ref="R451:R514" si="45">RIGHT(N451, LEN(N451) - FIND("/",N451) )</f>
        <v>animation</v>
      </c>
      <c r="S451" s="10">
        <f t="shared" ref="S451:S514" si="46">(((J451/60)/60)/24)+DATE(1970,1,1)+(-5/24)</f>
        <v>41534.359780092593</v>
      </c>
      <c r="T451" s="10">
        <f t="shared" ref="T451:T514" si="47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IF(D515 = 0,0,(E515/D515)*100)</f>
        <v>13.923999999999999</v>
      </c>
      <c r="P515" s="6">
        <f t="shared" ref="P515:P578" si="49">IF(E515=0,0,E515/L515)</f>
        <v>102.38235294117646</v>
      </c>
      <c r="Q515" t="str">
        <f t="shared" ref="Q515:Q578" si="50">LEFT(N515,FIND("/",N515) - 1)</f>
        <v>film &amp; video</v>
      </c>
      <c r="R515" t="str">
        <f t="shared" ref="R515:R578" si="51">RIGHT(N515, LEN(N515) - FIND("/",N515) )</f>
        <v>animation</v>
      </c>
      <c r="S515" s="10">
        <f t="shared" ref="S515:S578" si="52">(((J515/60)/60)/24)+DATE(1970,1,1)+(-5/24)</f>
        <v>42552.445659722223</v>
      </c>
      <c r="T515" s="10">
        <f t="shared" ref="T515:T578" si="53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IF(D579 = 0,0,(E579/D579)*100)</f>
        <v>0.2</v>
      </c>
      <c r="P579" s="6">
        <f t="shared" ref="P579:P642" si="55">IF(E579=0,0,E579/L579)</f>
        <v>10</v>
      </c>
      <c r="Q579" t="str">
        <f t="shared" ref="Q579:Q642" si="56">LEFT(N579,FIND("/",N579) - 1)</f>
        <v>technology</v>
      </c>
      <c r="R579" t="str">
        <f t="shared" ref="R579:R642" si="57">RIGHT(N579, LEN(N579) - FIND("/",N579) )</f>
        <v>web</v>
      </c>
      <c r="S579" s="10">
        <f t="shared" ref="S579:S642" si="58">(((J579/60)/60)/24)+DATE(1970,1,1)+(-5/24)</f>
        <v>42450.380810185183</v>
      </c>
      <c r="T579" s="10">
        <f t="shared" ref="T579:T642" si="5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IF(D643 = 0,0,(E643/D643)*100)</f>
        <v>119.16249999999999</v>
      </c>
      <c r="P643" s="6">
        <f t="shared" ref="P643:P706" si="61">IF(E643=0,0,E643/L643)</f>
        <v>151.31746031746033</v>
      </c>
      <c r="Q643" t="str">
        <f t="shared" ref="Q643:Q706" si="62">LEFT(N643,FIND("/",N643) - 1)</f>
        <v>technology</v>
      </c>
      <c r="R643" t="str">
        <f t="shared" ref="R643:R706" si="63">RIGHT(N643, LEN(N643) - FIND("/",N643) )</f>
        <v>wearables</v>
      </c>
      <c r="S643" s="10">
        <f t="shared" ref="S643:S706" si="64">(((J643/60)/60)/24)+DATE(1970,1,1)+(-5/24)</f>
        <v>42199.361666666664</v>
      </c>
      <c r="T643" s="10">
        <f t="shared" ref="T643:T706" si="65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IF(D707 = 0,0,(E707/D707)*100)</f>
        <v>0.97699999999999987</v>
      </c>
      <c r="P707" s="6">
        <f t="shared" ref="P707:P770" si="67">IF(E707=0,0,E707/L707)</f>
        <v>195.4</v>
      </c>
      <c r="Q707" t="str">
        <f t="shared" ref="Q707:Q770" si="68">LEFT(N707,FIND("/",N707) - 1)</f>
        <v>technology</v>
      </c>
      <c r="R707" t="str">
        <f t="shared" ref="R707:R770" si="69">RIGHT(N707, LEN(N707) - FIND("/",N707) )</f>
        <v>wearables</v>
      </c>
      <c r="S707" s="10">
        <f t="shared" ref="S707:S770" si="70">(((J707/60)/60)/24)+DATE(1970,1,1)+(-5/24)</f>
        <v>42726.283310185179</v>
      </c>
      <c r="T707" s="10">
        <f t="shared" ref="T707:T770" si="71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IF(D771 = 0,0,(E771/D771)*100)</f>
        <v>41.4</v>
      </c>
      <c r="P771" s="6">
        <f t="shared" ref="P771:P834" si="73">IF(E771=0,0,E771/L771)</f>
        <v>31.846153846153847</v>
      </c>
      <c r="Q771" t="str">
        <f t="shared" ref="Q771:Q834" si="74">LEFT(N771,FIND("/",N771) - 1)</f>
        <v>publishing</v>
      </c>
      <c r="R771" t="str">
        <f t="shared" ref="R771:R834" si="75">RIGHT(N771, LEN(N771) - FIND("/",N771) )</f>
        <v>fiction</v>
      </c>
      <c r="S771" s="10">
        <f t="shared" ref="S771:S834" si="76">(((J771/60)/60)/24)+DATE(1970,1,1)+(-5/24)</f>
        <v>41604.788124999999</v>
      </c>
      <c r="T771" s="10">
        <f t="shared" ref="T771:T834" si="77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IF(D835 = 0,0,(E835/D835)*100)</f>
        <v>101.66666666666666</v>
      </c>
      <c r="P835" s="6">
        <f t="shared" ref="P835:P898" si="79">IF(E835=0,0,E835/L835)</f>
        <v>148.78048780487805</v>
      </c>
      <c r="Q835" t="str">
        <f t="shared" ref="Q835:Q898" si="80">LEFT(N835,FIND("/",N835) - 1)</f>
        <v>music</v>
      </c>
      <c r="R835" t="str">
        <f t="shared" ref="R835:R898" si="81">RIGHT(N835, LEN(N835) - FIND("/",N835) )</f>
        <v>rock</v>
      </c>
      <c r="S835" s="10">
        <f t="shared" ref="S835:S898" si="82">(((J835/60)/60)/24)+DATE(1970,1,1)+(-5/24)</f>
        <v>41718.669849537036</v>
      </c>
      <c r="T835" s="10">
        <f t="shared" ref="T835:T898" si="83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IF(D899 = 0,0,(E899/D899)*100)</f>
        <v>0</v>
      </c>
      <c r="P899" s="6">
        <f t="shared" ref="P899:P962" si="85">IF(E899=0,0,E899/L899)</f>
        <v>0</v>
      </c>
      <c r="Q899" t="str">
        <f t="shared" ref="Q899:Q962" si="86">LEFT(N899,FIND("/",N899) - 1)</f>
        <v>music</v>
      </c>
      <c r="R899" t="str">
        <f t="shared" ref="R899:R962" si="87">RIGHT(N899, LEN(N899) - FIND("/",N899) )</f>
        <v>indie rock</v>
      </c>
      <c r="S899" s="10">
        <f t="shared" ref="S899:S962" si="88">(((J899/60)/60)/24)+DATE(1970,1,1)+(-5/24)</f>
        <v>41211.480416666665</v>
      </c>
      <c r="T899" s="10">
        <f t="shared" ref="T899:T962" si="8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IF(D963 = 0,0,(E963/D963)*100)</f>
        <v>42.188421052631583</v>
      </c>
      <c r="P963" s="6">
        <f t="shared" ref="P963:P1026" si="91">IF(E963=0,0,E963/L963)</f>
        <v>364.35454545454547</v>
      </c>
      <c r="Q963" t="str">
        <f t="shared" ref="Q963:Q1026" si="92">LEFT(N963,FIND("/",N963) - 1)</f>
        <v>technology</v>
      </c>
      <c r="R963" t="str">
        <f t="shared" ref="R963:R1026" si="93">RIGHT(N963, LEN(N963) - FIND("/",N963) )</f>
        <v>wearables</v>
      </c>
      <c r="S963" s="10">
        <f t="shared" ref="S963:S1026" si="94">(((J963/60)/60)/24)+DATE(1970,1,1)+(-5/24)</f>
        <v>42740.485358796293</v>
      </c>
      <c r="T963" s="10">
        <f t="shared" ref="T963:T1026" si="95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IF(D1027 = 0,0,(E1027/D1027)*100)</f>
        <v>109.92831428571431</v>
      </c>
      <c r="P1027" s="6">
        <f t="shared" ref="P1027:P1090" si="97">IF(E1027=0,0,E1027/L1027)</f>
        <v>71.848571428571432</v>
      </c>
      <c r="Q1027" t="str">
        <f t="shared" ref="Q1027:Q1090" si="98">LEFT(N1027,FIND("/",N1027) - 1)</f>
        <v>music</v>
      </c>
      <c r="R1027" t="str">
        <f t="shared" ref="R1027:R1090" si="99">RIGHT(N1027, LEN(N1027) - FIND("/",N1027) )</f>
        <v>electronic music</v>
      </c>
      <c r="S1027" s="10">
        <f t="shared" ref="S1027:S1090" si="100">(((J1027/60)/60)/24)+DATE(1970,1,1)+(-5/24)</f>
        <v>42049.625428240739</v>
      </c>
      <c r="T1027" s="10">
        <f t="shared" ref="T1027:T1090" si="101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IF(D1091 = 0,0,(E1091/D1091)*100)</f>
        <v>7.8266666666666662</v>
      </c>
      <c r="P1091" s="6">
        <f t="shared" ref="P1091:P1154" si="103">IF(E1091=0,0,E1091/L1091)</f>
        <v>23.959183673469386</v>
      </c>
      <c r="Q1091" t="str">
        <f t="shared" ref="Q1091:Q1154" si="104">LEFT(N1091,FIND("/",N1091) - 1)</f>
        <v>games</v>
      </c>
      <c r="R1091" t="str">
        <f t="shared" ref="R1091:R1154" si="105">RIGHT(N1091, LEN(N1091) - FIND("/",N1091) )</f>
        <v>video games</v>
      </c>
      <c r="S1091" s="10">
        <f t="shared" ref="S1091:S1154" si="106">(((J1091/60)/60)/24)+DATE(1970,1,1)+(-5/24)</f>
        <v>42150.981192129628</v>
      </c>
      <c r="T1091" s="10">
        <f t="shared" ref="T1091:T1154" si="107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IF(D1155 = 0,0,(E1155/D1155)*100)</f>
        <v>0.625</v>
      </c>
      <c r="P1155" s="6">
        <f t="shared" ref="P1155:P1218" si="109">IF(E1155=0,0,E1155/L1155)</f>
        <v>50</v>
      </c>
      <c r="Q1155" t="str">
        <f t="shared" ref="Q1155:Q1218" si="110">LEFT(N1155,FIND("/",N1155) - 1)</f>
        <v>food</v>
      </c>
      <c r="R1155" t="str">
        <f t="shared" ref="R1155:R1218" si="111">RIGHT(N1155, LEN(N1155) - FIND("/",N1155) )</f>
        <v>food trucks</v>
      </c>
      <c r="S1155" s="10">
        <f t="shared" ref="S1155:S1218" si="112">(((J1155/60)/60)/24)+DATE(1970,1,1)+(-5/24)</f>
        <v>42143.505844907406</v>
      </c>
      <c r="T1155" s="10">
        <f t="shared" ref="T1155:T1218" si="113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IF(D1219 = 0,0,(E1219/D1219)*100)</f>
        <v>102.60000000000001</v>
      </c>
      <c r="P1219" s="6">
        <f t="shared" ref="P1219:P1282" si="115">IF(E1219=0,0,E1219/L1219)</f>
        <v>148.57377049180329</v>
      </c>
      <c r="Q1219" t="str">
        <f t="shared" ref="Q1219:Q1282" si="116">LEFT(N1219,FIND("/",N1219) - 1)</f>
        <v>photography</v>
      </c>
      <c r="R1219" t="str">
        <f t="shared" ref="R1219:R1282" si="117">RIGHT(N1219, LEN(N1219) - FIND("/",N1219) )</f>
        <v>photobooks</v>
      </c>
      <c r="S1219" s="10">
        <f t="shared" ref="S1219:S1282" si="118">(((J1219/60)/60)/24)+DATE(1970,1,1)+(-5/24)</f>
        <v>42535.6011574074</v>
      </c>
      <c r="T1219" s="10">
        <f t="shared" ref="T1219:T1282" si="11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IF(D1283 = 0,0,(E1283/D1283)*100)</f>
        <v>110.71428571428572</v>
      </c>
      <c r="P1283" s="6">
        <f t="shared" ref="P1283:P1346" si="121">IF(E1283=0,0,E1283/L1283)</f>
        <v>104.72972972972973</v>
      </c>
      <c r="Q1283" t="str">
        <f t="shared" ref="Q1283:Q1346" si="122">LEFT(N1283,FIND("/",N1283) - 1)</f>
        <v>music</v>
      </c>
      <c r="R1283" t="str">
        <f t="shared" ref="R1283:R1346" si="123">RIGHT(N1283, LEN(N1283) - FIND("/",N1283) )</f>
        <v>rock</v>
      </c>
      <c r="S1283" s="10">
        <f t="shared" ref="S1283:S1346" si="124">(((J1283/60)/60)/24)+DATE(1970,1,1)+(-5/24)</f>
        <v>41463.535138888888</v>
      </c>
      <c r="T1283" s="10">
        <f t="shared" ref="T1283:T1346" si="125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IF(D1347 = 0,0,(E1347/D1347)*100)</f>
        <v>125</v>
      </c>
      <c r="P1347" s="6">
        <f t="shared" ref="P1347:P1410" si="127">IF(E1347=0,0,E1347/L1347)</f>
        <v>53.571428571428569</v>
      </c>
      <c r="Q1347" t="str">
        <f t="shared" ref="Q1347:Q1410" si="128">LEFT(N1347,FIND("/",N1347) - 1)</f>
        <v>publishing</v>
      </c>
      <c r="R1347" t="str">
        <f t="shared" ref="R1347:R1410" si="129">RIGHT(N1347, LEN(N1347) - FIND("/",N1347) )</f>
        <v>nonfiction</v>
      </c>
      <c r="S1347" s="10">
        <f t="shared" ref="S1347:S1410" si="130">(((J1347/60)/60)/24)+DATE(1970,1,1)+(-5/24)</f>
        <v>41799.606006944443</v>
      </c>
      <c r="T1347" s="10">
        <f t="shared" ref="T1347:T1410" si="131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IF(D1411 = 0,0,(E1411/D1411)*100)</f>
        <v>0</v>
      </c>
      <c r="P1411" s="6">
        <f t="shared" ref="P1411:P1474" si="133">IF(E1411=0,0,E1411/L1411)</f>
        <v>0</v>
      </c>
      <c r="Q1411" t="str">
        <f t="shared" ref="Q1411:Q1474" si="134">LEFT(N1411,FIND("/",N1411) - 1)</f>
        <v>publishing</v>
      </c>
      <c r="R1411" t="str">
        <f t="shared" ref="R1411:R1474" si="135">RIGHT(N1411, LEN(N1411) - FIND("/",N1411) )</f>
        <v>translations</v>
      </c>
      <c r="S1411" s="10">
        <f t="shared" ref="S1411:S1474" si="136">(((J1411/60)/60)/24)+DATE(1970,1,1)+(-5/24)</f>
        <v>41944.925173611111</v>
      </c>
      <c r="T1411" s="10">
        <f t="shared" ref="T1411:T1474" si="137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IF(D1475 = 0,0,(E1475/D1475)*100)</f>
        <v>120.51600000000001</v>
      </c>
      <c r="P1475" s="6">
        <f t="shared" ref="P1475:P1538" si="139">IF(E1475=0,0,E1475/L1475)</f>
        <v>38.462553191489363</v>
      </c>
      <c r="Q1475" t="str">
        <f t="shared" ref="Q1475:Q1538" si="140">LEFT(N1475,FIND("/",N1475) - 1)</f>
        <v>publishing</v>
      </c>
      <c r="R1475" t="str">
        <f t="shared" ref="R1475:R1538" si="141">RIGHT(N1475, LEN(N1475) - FIND("/",N1475) )</f>
        <v>radio &amp; podcasts</v>
      </c>
      <c r="S1475" s="10">
        <f t="shared" ref="S1475:S1538" si="142">(((J1475/60)/60)/24)+DATE(1970,1,1)+(-5/24)</f>
        <v>40939.771284722221</v>
      </c>
      <c r="T1475" s="10">
        <f t="shared" ref="T1475:T1538" si="143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IF(D1539 = 0,0,(E1539/D1539)*100)</f>
        <v>179.9</v>
      </c>
      <c r="P1539" s="6">
        <f t="shared" ref="P1539:P1602" si="145">IF(E1539=0,0,E1539/L1539)</f>
        <v>96.375</v>
      </c>
      <c r="Q1539" t="str">
        <f t="shared" ref="Q1539:Q1602" si="146">LEFT(N1539,FIND("/",N1539) - 1)</f>
        <v>photography</v>
      </c>
      <c r="R1539" t="str">
        <f t="shared" ref="R1539:R1602" si="147">RIGHT(N1539, LEN(N1539) - FIND("/",N1539) )</f>
        <v>photobooks</v>
      </c>
      <c r="S1539" s="10">
        <f t="shared" ref="S1539:S1602" si="148">(((J1539/60)/60)/24)+DATE(1970,1,1)+(-5/24)</f>
        <v>42552.106793981475</v>
      </c>
      <c r="T1539" s="10">
        <f t="shared" ref="T1539:T1602" si="14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IF(D1603 = 0,0,(E1603/D1603)*100)</f>
        <v>108.2492</v>
      </c>
      <c r="P1603" s="6">
        <f t="shared" ref="P1603:P1666" si="151">IF(E1603=0,0,E1603/L1603)</f>
        <v>48.325535714285714</v>
      </c>
      <c r="Q1603" t="str">
        <f t="shared" ref="Q1603:Q1666" si="152">LEFT(N1603,FIND("/",N1603) - 1)</f>
        <v>music</v>
      </c>
      <c r="R1603" t="str">
        <f t="shared" ref="R1603:R1666" si="153">RIGHT(N1603, LEN(N1603) - FIND("/",N1603) )</f>
        <v>rock</v>
      </c>
      <c r="S1603" s="10">
        <f t="shared" ref="S1603:S1666" si="154">(((J1603/60)/60)/24)+DATE(1970,1,1)+(-5/24)</f>
        <v>40637.884641203702</v>
      </c>
      <c r="T1603" s="10">
        <f t="shared" ref="T1603:T1666" si="155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IF(D1667 = 0,0,(E1667/D1667)*100)</f>
        <v>119.45714285714286</v>
      </c>
      <c r="P1667" s="6">
        <f t="shared" ref="P1667:P1730" si="157">IF(E1667=0,0,E1667/L1667)</f>
        <v>44.956989247311824</v>
      </c>
      <c r="Q1667" t="str">
        <f t="shared" ref="Q1667:Q1730" si="158">LEFT(N1667,FIND("/",N1667) - 1)</f>
        <v>music</v>
      </c>
      <c r="R1667" t="str">
        <f t="shared" ref="R1667:R1730" si="159">RIGHT(N1667, LEN(N1667) - FIND("/",N1667) )</f>
        <v>pop</v>
      </c>
      <c r="S1667" s="10">
        <f t="shared" ref="S1667:S1730" si="160">(((J1667/60)/60)/24)+DATE(1970,1,1)+(-5/24)</f>
        <v>40564.441122685181</v>
      </c>
      <c r="T1667" s="10">
        <f t="shared" ref="T1667:T1730" si="161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IF(D1731 = 0,0,(E1731/D1731)*100)</f>
        <v>0</v>
      </c>
      <c r="P1731" s="6">
        <f t="shared" ref="P1731:P1794" si="163">IF(E1731=0,0,E1731/L1731)</f>
        <v>0</v>
      </c>
      <c r="Q1731" t="str">
        <f t="shared" ref="Q1731:Q1794" si="164">LEFT(N1731,FIND("/",N1731) - 1)</f>
        <v>music</v>
      </c>
      <c r="R1731" t="str">
        <f t="shared" ref="R1731:R1794" si="165">RIGHT(N1731, LEN(N1731) - FIND("/",N1731) )</f>
        <v>faith</v>
      </c>
      <c r="S1731" s="10">
        <f t="shared" ref="S1731:S1794" si="166">(((J1731/60)/60)/24)+DATE(1970,1,1)+(-5/24)</f>
        <v>42470.843819444439</v>
      </c>
      <c r="T1731" s="10">
        <f t="shared" ref="T1731:T1794" si="167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IF(D1795 = 0,0,(E1795/D1795)*100)</f>
        <v>1.3333333333333335</v>
      </c>
      <c r="P1795" s="6">
        <f t="shared" ref="P1795:P1858" si="169">IF(E1795=0,0,E1795/L1795)</f>
        <v>20</v>
      </c>
      <c r="Q1795" t="str">
        <f t="shared" ref="Q1795:Q1858" si="170">LEFT(N1795,FIND("/",N1795) - 1)</f>
        <v>photography</v>
      </c>
      <c r="R1795" t="str">
        <f t="shared" ref="R1795:R1858" si="171">RIGHT(N1795, LEN(N1795) - FIND("/",N1795) )</f>
        <v>photobooks</v>
      </c>
      <c r="S1795" s="10">
        <f t="shared" ref="S1795:S1858" si="172">(((J1795/60)/60)/24)+DATE(1970,1,1)+(-5/24)</f>
        <v>41940.683333333334</v>
      </c>
      <c r="T1795" s="10">
        <f t="shared" ref="T1795:T1858" si="173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IF(D1859 = 0,0,(E1859/D1859)*100)</f>
        <v>100</v>
      </c>
      <c r="P1859" s="6">
        <f t="shared" ref="P1859:P1922" si="175">IF(E1859=0,0,E1859/L1859)</f>
        <v>136.36363636363637</v>
      </c>
      <c r="Q1859" t="str">
        <f t="shared" ref="Q1859:Q1922" si="176">LEFT(N1859,FIND("/",N1859) - 1)</f>
        <v>music</v>
      </c>
      <c r="R1859" t="str">
        <f t="shared" ref="R1859:R1922" si="177">RIGHT(N1859, LEN(N1859) - FIND("/",N1859) )</f>
        <v>rock</v>
      </c>
      <c r="S1859" s="10">
        <f t="shared" ref="S1859:S1922" si="178">(((J1859/60)/60)/24)+DATE(1970,1,1)+(-5/24)</f>
        <v>41864.560335648144</v>
      </c>
      <c r="T1859" s="10">
        <f t="shared" ref="T1859:T1922" si="17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IF(D1923 = 0,0,(E1923/D1923)*100)</f>
        <v>136.80000000000001</v>
      </c>
      <c r="P1923" s="6">
        <f t="shared" ref="P1923:P1986" si="181">IF(E1923=0,0,E1923/L1923)</f>
        <v>54</v>
      </c>
      <c r="Q1923" t="str">
        <f t="shared" ref="Q1923:Q1986" si="182">LEFT(N1923,FIND("/",N1923) - 1)</f>
        <v>music</v>
      </c>
      <c r="R1923" t="str">
        <f t="shared" ref="R1923:R1986" si="183">RIGHT(N1923, LEN(N1923) - FIND("/",N1923) )</f>
        <v>indie rock</v>
      </c>
      <c r="S1923" s="10">
        <f t="shared" ref="S1923:S1986" si="184">(((J1923/60)/60)/24)+DATE(1970,1,1)+(-5/24)</f>
        <v>41074.013229166667</v>
      </c>
      <c r="T1923" s="10">
        <f t="shared" ref="T1923:T1986" si="185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IF(D1987 = 0,0,(E1987/D1987)*100)</f>
        <v>3.1875</v>
      </c>
      <c r="P1987" s="6">
        <f t="shared" ref="P1987:P2050" si="187">IF(E1987=0,0,E1987/L1987)</f>
        <v>12.75</v>
      </c>
      <c r="Q1987" t="str">
        <f t="shared" ref="Q1987:Q2050" si="188">LEFT(N1987,FIND("/",N1987) - 1)</f>
        <v>photography</v>
      </c>
      <c r="R1987" t="str">
        <f t="shared" ref="R1987:R2050" si="189">RIGHT(N1987, LEN(N1987) - FIND("/",N1987) )</f>
        <v>people</v>
      </c>
      <c r="S1987" s="10">
        <f t="shared" ref="S1987:S2050" si="190">(((J1987/60)/60)/24)+DATE(1970,1,1)+(-5/24)</f>
        <v>42555.490405092591</v>
      </c>
      <c r="T1987" s="10">
        <f t="shared" ref="T1987:T2050" si="191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IF(D2051 = 0,0,(E2051/D2051)*100)</f>
        <v>120.19070000000001</v>
      </c>
      <c r="P2051" s="6">
        <f t="shared" ref="P2051:P2114" si="193">IF(E2051=0,0,E2051/L2051)</f>
        <v>80.991037735849048</v>
      </c>
      <c r="Q2051" t="str">
        <f t="shared" ref="Q2051:Q2114" si="194">LEFT(N2051,FIND("/",N2051) - 1)</f>
        <v>technology</v>
      </c>
      <c r="R2051" t="str">
        <f t="shared" ref="R2051:R2114" si="195">RIGHT(N2051, LEN(N2051) - FIND("/",N2051) )</f>
        <v>hardware</v>
      </c>
      <c r="S2051" s="10">
        <f t="shared" ref="S2051:S2114" si="196">(((J2051/60)/60)/24)+DATE(1970,1,1)+(-5/24)</f>
        <v>41575.319016203699</v>
      </c>
      <c r="T2051" s="10">
        <f t="shared" ref="T2051:T2114" si="197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IF(D2115 = 0,0,(E2115/D2115)*100)</f>
        <v>104.85714285714285</v>
      </c>
      <c r="P2115" s="6">
        <f t="shared" ref="P2115:P2178" si="199">IF(E2115=0,0,E2115/L2115)</f>
        <v>68.598130841121488</v>
      </c>
      <c r="Q2115" t="str">
        <f t="shared" ref="Q2115:Q2178" si="200">LEFT(N2115,FIND("/",N2115) - 1)</f>
        <v>music</v>
      </c>
      <c r="R2115" t="str">
        <f t="shared" ref="R2115:R2178" si="201">RIGHT(N2115, LEN(N2115) - FIND("/",N2115) )</f>
        <v>indie rock</v>
      </c>
      <c r="S2115" s="10">
        <f t="shared" ref="S2115:S2178" si="202">(((J2115/60)/60)/24)+DATE(1970,1,1)+(-5/24)</f>
        <v>41870.657129629624</v>
      </c>
      <c r="T2115" s="10">
        <f t="shared" ref="T2115:T2178" si="203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IF(D2179 = 0,0,(E2179/D2179)*100)</f>
        <v>100.12</v>
      </c>
      <c r="P2179" s="6">
        <f t="shared" ref="P2179:P2242" si="205">IF(E2179=0,0,E2179/L2179)</f>
        <v>65.868421052631575</v>
      </c>
      <c r="Q2179" t="str">
        <f t="shared" ref="Q2179:Q2242" si="206">LEFT(N2179,FIND("/",N2179) - 1)</f>
        <v>music</v>
      </c>
      <c r="R2179" t="str">
        <f t="shared" ref="R2179:R2242" si="207">RIGHT(N2179, LEN(N2179) - FIND("/",N2179) )</f>
        <v>rock</v>
      </c>
      <c r="S2179" s="10">
        <f t="shared" ref="S2179:S2242" si="208">(((J2179/60)/60)/24)+DATE(1970,1,1)+(-5/24)</f>
        <v>42502.042442129627</v>
      </c>
      <c r="T2179" s="10">
        <f t="shared" ref="T2179:T2242" si="20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IF(D2243 = 0,0,(E2243/D2243)*100)</f>
        <v>806.4</v>
      </c>
      <c r="P2243" s="6">
        <f t="shared" ref="P2243:P2306" si="211">IF(E2243=0,0,E2243/L2243)</f>
        <v>49.472392638036808</v>
      </c>
      <c r="Q2243" t="str">
        <f t="shared" ref="Q2243:Q2306" si="212">LEFT(N2243,FIND("/",N2243) - 1)</f>
        <v>games</v>
      </c>
      <c r="R2243" t="str">
        <f t="shared" ref="R2243:R2306" si="213">RIGHT(N2243, LEN(N2243) - FIND("/",N2243) )</f>
        <v>tabletop games</v>
      </c>
      <c r="S2243" s="10">
        <f t="shared" ref="S2243:S2306" si="214">(((J2243/60)/60)/24)+DATE(1970,1,1)+(-5/24)</f>
        <v>42766.619212962956</v>
      </c>
      <c r="T2243" s="10">
        <f t="shared" ref="T2243:T2306" si="215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IF(D2307 = 0,0,(E2307/D2307)*100)</f>
        <v>101.22777777777779</v>
      </c>
      <c r="P2307" s="6">
        <f t="shared" ref="P2307:P2370" si="217">IF(E2307=0,0,E2307/L2307)</f>
        <v>109.10778443113773</v>
      </c>
      <c r="Q2307" t="str">
        <f t="shared" ref="Q2307:Q2370" si="218">LEFT(N2307,FIND("/",N2307) - 1)</f>
        <v>music</v>
      </c>
      <c r="R2307" t="str">
        <f t="shared" ref="R2307:R2370" si="219">RIGHT(N2307, LEN(N2307) - FIND("/",N2307) )</f>
        <v>indie rock</v>
      </c>
      <c r="S2307" s="10">
        <f t="shared" ref="S2307:S2370" si="220">(((J2307/60)/60)/24)+DATE(1970,1,1)+(-5/24)</f>
        <v>41834.486944444441</v>
      </c>
      <c r="T2307" s="10">
        <f t="shared" ref="T2307:T2370" si="221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IF(D2371 = 0,0,(E2371/D2371)*100)</f>
        <v>0</v>
      </c>
      <c r="P2371" s="6">
        <f t="shared" ref="P2371:P2434" si="223">IF(E2371=0,0,E2371/L2371)</f>
        <v>0</v>
      </c>
      <c r="Q2371" t="str">
        <f t="shared" ref="Q2371:Q2434" si="224">LEFT(N2371,FIND("/",N2371) - 1)</f>
        <v>technology</v>
      </c>
      <c r="R2371" t="str">
        <f t="shared" ref="R2371:R2434" si="225">RIGHT(N2371, LEN(N2371) - FIND("/",N2371) )</f>
        <v>web</v>
      </c>
      <c r="S2371" s="10">
        <f t="shared" ref="S2371:S2434" si="226">(((J2371/60)/60)/24)+DATE(1970,1,1)+(-5/24)</f>
        <v>42380.60429398148</v>
      </c>
      <c r="T2371" s="10">
        <f t="shared" ref="T2371:T2434" si="227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IF(D2435 = 0,0,(E2435/D2435)*100)</f>
        <v>0</v>
      </c>
      <c r="P2435" s="6">
        <f t="shared" ref="P2435:P2498" si="229">IF(E2435=0,0,E2435/L2435)</f>
        <v>0</v>
      </c>
      <c r="Q2435" t="str">
        <f t="shared" ref="Q2435:Q2498" si="230">LEFT(N2435,FIND("/",N2435) - 1)</f>
        <v>food</v>
      </c>
      <c r="R2435" t="str">
        <f t="shared" ref="R2435:R2498" si="231">RIGHT(N2435, LEN(N2435) - FIND("/",N2435) )</f>
        <v>food trucks</v>
      </c>
      <c r="S2435" s="10">
        <f t="shared" ref="S2435:S2498" si="232">(((J2435/60)/60)/24)+DATE(1970,1,1)+(-5/24)</f>
        <v>42397.691469907404</v>
      </c>
      <c r="T2435" s="10">
        <f t="shared" ref="T2435:T2498" si="233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IF(D2499 = 0,0,(E2499/D2499)*100)</f>
        <v>112.7715</v>
      </c>
      <c r="P2499" s="6">
        <f t="shared" ref="P2499:P2562" si="235">IF(E2499=0,0,E2499/L2499)</f>
        <v>80.551071428571419</v>
      </c>
      <c r="Q2499" t="str">
        <f t="shared" ref="Q2499:Q2562" si="236">LEFT(N2499,FIND("/",N2499) - 1)</f>
        <v>music</v>
      </c>
      <c r="R2499" t="str">
        <f t="shared" ref="R2499:R2562" si="237">RIGHT(N2499, LEN(N2499) - FIND("/",N2499) )</f>
        <v>indie rock</v>
      </c>
      <c r="S2499" s="10">
        <f t="shared" ref="S2499:S2562" si="238">(((J2499/60)/60)/24)+DATE(1970,1,1)+(-5/24)</f>
        <v>40730.670578703699</v>
      </c>
      <c r="T2499" s="10">
        <f t="shared" ref="T2499:T2562" si="23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IF(D2563 = 0,0,(E2563/D2563)*100)</f>
        <v>0</v>
      </c>
      <c r="P2563" s="6">
        <f t="shared" ref="P2563:P2626" si="241">IF(E2563=0,0,E2563/L2563)</f>
        <v>0</v>
      </c>
      <c r="Q2563" t="str">
        <f t="shared" ref="Q2563:Q2626" si="242">LEFT(N2563,FIND("/",N2563) - 1)</f>
        <v>food</v>
      </c>
      <c r="R2563" t="str">
        <f t="shared" ref="R2563:R2626" si="243">RIGHT(N2563, LEN(N2563) - FIND("/",N2563) )</f>
        <v>food trucks</v>
      </c>
      <c r="S2563" s="10">
        <f t="shared" ref="S2563:S2626" si="244">(((J2563/60)/60)/24)+DATE(1970,1,1)+(-5/24)</f>
        <v>42260.320474537039</v>
      </c>
      <c r="T2563" s="10">
        <f t="shared" ref="T2563:T2626" si="245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IF(D2627 = 0,0,(E2627/D2627)*100)</f>
        <v>956</v>
      </c>
      <c r="P2627" s="6">
        <f t="shared" ref="P2627:P2690" si="247">IF(E2627=0,0,E2627/L2627)</f>
        <v>27.576923076923077</v>
      </c>
      <c r="Q2627" t="str">
        <f t="shared" ref="Q2627:Q2690" si="248">LEFT(N2627,FIND("/",N2627) - 1)</f>
        <v>technology</v>
      </c>
      <c r="R2627" t="str">
        <f t="shared" ref="R2627:R2690" si="249">RIGHT(N2627, LEN(N2627) - FIND("/",N2627) )</f>
        <v>space exploration</v>
      </c>
      <c r="S2627" s="10">
        <f t="shared" ref="S2627:S2690" si="250">(((J2627/60)/60)/24)+DATE(1970,1,1)+(-5/24)</f>
        <v>42658.601944444446</v>
      </c>
      <c r="T2627" s="10">
        <f t="shared" ref="T2627:T2690" si="251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IF(D2691 = 0,0,(E2691/D2691)*100)</f>
        <v>2.8571428571428571E-3</v>
      </c>
      <c r="P2691" s="6">
        <f t="shared" ref="P2691:P2754" si="253">IF(E2691=0,0,E2691/L2691)</f>
        <v>1</v>
      </c>
      <c r="Q2691" t="str">
        <f t="shared" ref="Q2691:Q2754" si="254">LEFT(N2691,FIND("/",N2691) - 1)</f>
        <v>food</v>
      </c>
      <c r="R2691" t="str">
        <f t="shared" ref="R2691:R2754" si="255">RIGHT(N2691, LEN(N2691) - FIND("/",N2691) )</f>
        <v>food trucks</v>
      </c>
      <c r="S2691" s="10">
        <f t="shared" ref="S2691:S2754" si="256">(((J2691/60)/60)/24)+DATE(1970,1,1)+(-5/24)</f>
        <v>42551.753356481473</v>
      </c>
      <c r="T2691" s="10">
        <f t="shared" ref="T2691:T2754" si="257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IF(D2755 = 0,0,(E2755/D2755)*100)</f>
        <v>19</v>
      </c>
      <c r="P2755" s="6">
        <f t="shared" ref="P2755:P2818" si="259">IF(E2755=0,0,E2755/L2755)</f>
        <v>47.5</v>
      </c>
      <c r="Q2755" t="str">
        <f t="shared" ref="Q2755:Q2818" si="260">LEFT(N2755,FIND("/",N2755) - 1)</f>
        <v>publishing</v>
      </c>
      <c r="R2755" t="str">
        <f t="shared" ref="R2755:R2818" si="261">RIGHT(N2755, LEN(N2755) - FIND("/",N2755) )</f>
        <v>children's books</v>
      </c>
      <c r="S2755" s="10">
        <f t="shared" ref="S2755:S2818" si="262">(((J2755/60)/60)/24)+DATE(1970,1,1)+(-5/24)</f>
        <v>41117.692395833328</v>
      </c>
      <c r="T2755" s="10">
        <f t="shared" ref="T2755:T2818" si="263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IF(D2819 = 0,0,(E2819/D2819)*100)</f>
        <v>130</v>
      </c>
      <c r="P2819" s="6">
        <f t="shared" ref="P2819:P2882" si="265">IF(E2819=0,0,E2819/L2819)</f>
        <v>23.636363636363637</v>
      </c>
      <c r="Q2819" t="str">
        <f t="shared" ref="Q2819:Q2882" si="266">LEFT(N2819,FIND("/",N2819) - 1)</f>
        <v>theater</v>
      </c>
      <c r="R2819" t="str">
        <f t="shared" ref="R2819:R2882" si="267">RIGHT(N2819, LEN(N2819) - FIND("/",N2819) )</f>
        <v>plays</v>
      </c>
      <c r="S2819" s="10">
        <f t="shared" ref="S2819:S2882" si="268">(((J2819/60)/60)/24)+DATE(1970,1,1)+(-5/24)</f>
        <v>42023.42664351852</v>
      </c>
      <c r="T2819" s="10">
        <f t="shared" ref="T2819:T2882" si="26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IF(D2883 = 0,0,(E2883/D2883)*100)</f>
        <v>0</v>
      </c>
      <c r="P2883" s="6">
        <f t="shared" ref="P2883:P2946" si="271">IF(E2883=0,0,E2883/L2883)</f>
        <v>0</v>
      </c>
      <c r="Q2883" t="str">
        <f t="shared" ref="Q2883:Q2946" si="272">LEFT(N2883,FIND("/",N2883) - 1)</f>
        <v>theater</v>
      </c>
      <c r="R2883" t="str">
        <f t="shared" ref="R2883:R2946" si="273">RIGHT(N2883, LEN(N2883) - FIND("/",N2883) )</f>
        <v>plays</v>
      </c>
      <c r="S2883" s="10">
        <f t="shared" ref="S2883:S2946" si="274">(((J2883/60)/60)/24)+DATE(1970,1,1)+(-5/24)</f>
        <v>41916.389305555553</v>
      </c>
      <c r="T2883" s="10">
        <f t="shared" ref="T2883:T2946" si="275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IF(D2947 = 0,0,(E2947/D2947)*100)</f>
        <v>0</v>
      </c>
      <c r="P2947" s="6">
        <f t="shared" ref="P2947:P3010" si="277">IF(E2947=0,0,E2947/L2947)</f>
        <v>0</v>
      </c>
      <c r="Q2947" t="str">
        <f t="shared" ref="Q2947:Q3010" si="278">LEFT(N2947,FIND("/",N2947) - 1)</f>
        <v>theater</v>
      </c>
      <c r="R2947" t="str">
        <f t="shared" ref="R2947:R3010" si="279">RIGHT(N2947, LEN(N2947) - FIND("/",N2947) )</f>
        <v>spaces</v>
      </c>
      <c r="S2947" s="10">
        <f t="shared" ref="S2947:S3010" si="280">(((J2947/60)/60)/24)+DATE(1970,1,1)+(-5/24)</f>
        <v>42117.931250000001</v>
      </c>
      <c r="T2947" s="10">
        <f t="shared" ref="T2947:T3010" si="281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IF(D3011 = 0,0,(E3011/D3011)*100)</f>
        <v>119.756</v>
      </c>
      <c r="P3011" s="6">
        <f t="shared" ref="P3011:P3074" si="283">IF(E3011=0,0,E3011/L3011)</f>
        <v>233.8984375</v>
      </c>
      <c r="Q3011" t="str">
        <f t="shared" ref="Q3011:Q3074" si="284">LEFT(N3011,FIND("/",N3011) - 1)</f>
        <v>theater</v>
      </c>
      <c r="R3011" t="str">
        <f t="shared" ref="R3011:R3074" si="285">RIGHT(N3011, LEN(N3011) - FIND("/",N3011) )</f>
        <v>spaces</v>
      </c>
      <c r="S3011" s="10">
        <f t="shared" ref="S3011:S3074" si="286">(((J3011/60)/60)/24)+DATE(1970,1,1)+(-5/24)</f>
        <v>41939.361574074072</v>
      </c>
      <c r="T3011" s="10">
        <f t="shared" ref="T3011:T3074" si="287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IF(D3075 = 0,0,(E3075/D3075)*100)</f>
        <v>2.3035714285714284E-2</v>
      </c>
      <c r="P3075" s="6">
        <f t="shared" ref="P3075:P3138" si="289">IF(E3075=0,0,E3075/L3075)</f>
        <v>92.142857142857139</v>
      </c>
      <c r="Q3075" t="str">
        <f t="shared" ref="Q3075:Q3138" si="290">LEFT(N3075,FIND("/",N3075) - 1)</f>
        <v>theater</v>
      </c>
      <c r="R3075" t="str">
        <f t="shared" ref="R3075:R3138" si="291">RIGHT(N3075, LEN(N3075) - FIND("/",N3075) )</f>
        <v>spaces</v>
      </c>
      <c r="S3075" s="10">
        <f t="shared" ref="S3075:S3138" si="292">(((J3075/60)/60)/24)+DATE(1970,1,1)+(-5/24)</f>
        <v>42111.475694444445</v>
      </c>
      <c r="T3075" s="10">
        <f t="shared" ref="T3075:T3138" si="293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IF(D3139 = 0,0,(E3139/D3139)*100)</f>
        <v>3.3333333333333335</v>
      </c>
      <c r="P3139" s="6">
        <f t="shared" ref="P3139:P3202" si="295">IF(E3139=0,0,E3139/L3139)</f>
        <v>50</v>
      </c>
      <c r="Q3139" t="str">
        <f t="shared" ref="Q3139:Q3202" si="296">LEFT(N3139,FIND("/",N3139) - 1)</f>
        <v>theater</v>
      </c>
      <c r="R3139" t="str">
        <f t="shared" ref="R3139:R3202" si="297">RIGHT(N3139, LEN(N3139) - FIND("/",N3139) )</f>
        <v>plays</v>
      </c>
      <c r="S3139" s="10">
        <f t="shared" ref="S3139:S3202" si="298">(((J3139/60)/60)/24)+DATE(1970,1,1)+(-5/24)</f>
        <v>42807.676724537036</v>
      </c>
      <c r="T3139" s="10">
        <f t="shared" ref="T3139:T3202" si="2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IF(D3203 = 0,0,(E3203/D3203)*100)</f>
        <v>1.25</v>
      </c>
      <c r="P3203" s="6">
        <f t="shared" ref="P3203:P3266" si="301">IF(E3203=0,0,E3203/L3203)</f>
        <v>12.5</v>
      </c>
      <c r="Q3203" t="str">
        <f t="shared" ref="Q3203:Q3266" si="302">LEFT(N3203,FIND("/",N3203) - 1)</f>
        <v>theater</v>
      </c>
      <c r="R3203" t="str">
        <f t="shared" ref="R3203:R3266" si="303">RIGHT(N3203, LEN(N3203) - FIND("/",N3203) )</f>
        <v>musical</v>
      </c>
      <c r="S3203" s="10">
        <f t="shared" ref="S3203:S3266" si="304">(((J3203/60)/60)/24)+DATE(1970,1,1)+(-5/24)</f>
        <v>41861.558761574073</v>
      </c>
      <c r="T3203" s="10">
        <f t="shared" ref="T3203:T3266" si="305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IF(D3267 = 0,0,(E3267/D3267)*100)</f>
        <v>164</v>
      </c>
      <c r="P3267" s="6">
        <f t="shared" ref="P3267:P3330" si="307">IF(E3267=0,0,E3267/L3267)</f>
        <v>70.285714285714292</v>
      </c>
      <c r="Q3267" t="str">
        <f t="shared" ref="Q3267:Q3330" si="308">LEFT(N3267,FIND("/",N3267) - 1)</f>
        <v>theater</v>
      </c>
      <c r="R3267" t="str">
        <f t="shared" ref="R3267:R3330" si="309">RIGHT(N3267, LEN(N3267) - FIND("/",N3267) )</f>
        <v>plays</v>
      </c>
      <c r="S3267" s="10">
        <f t="shared" ref="S3267:S3330" si="310">(((J3267/60)/60)/24)+DATE(1970,1,1)+(-5/24)</f>
        <v>42311.503645833327</v>
      </c>
      <c r="T3267" s="10">
        <f t="shared" ref="T3267:T3330" si="311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IF(D3331 = 0,0,(E3331/D3331)*100)</f>
        <v>116.8</v>
      </c>
      <c r="P3331" s="6">
        <f t="shared" ref="P3331:P3394" si="313">IF(E3331=0,0,E3331/L3331)</f>
        <v>44.92307692307692</v>
      </c>
      <c r="Q3331" t="str">
        <f t="shared" ref="Q3331:Q3394" si="314">LEFT(N3331,FIND("/",N3331) - 1)</f>
        <v>theater</v>
      </c>
      <c r="R3331" t="str">
        <f t="shared" ref="R3331:R3394" si="315">RIGHT(N3331, LEN(N3331) - FIND("/",N3331) )</f>
        <v>plays</v>
      </c>
      <c r="S3331" s="10">
        <f t="shared" ref="S3331:S3394" si="316">(((J3331/60)/60)/24)+DATE(1970,1,1)+(-5/24)</f>
        <v>41837.114675925921</v>
      </c>
      <c r="T3331" s="10">
        <f t="shared" ref="T3331:T3394" si="317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IF(D3395 = 0,0,(E3395/D3395)*100)</f>
        <v>105.80000000000001</v>
      </c>
      <c r="P3395" s="6">
        <f t="shared" ref="P3395:P3458" si="319">IF(E3395=0,0,E3395/L3395)</f>
        <v>36.06818181818182</v>
      </c>
      <c r="Q3395" t="str">
        <f t="shared" ref="Q3395:Q3458" si="320">LEFT(N3395,FIND("/",N3395) - 1)</f>
        <v>theater</v>
      </c>
      <c r="R3395" t="str">
        <f t="shared" ref="R3395:R3458" si="321">RIGHT(N3395, LEN(N3395) - FIND("/",N3395) )</f>
        <v>plays</v>
      </c>
      <c r="S3395" s="10">
        <f t="shared" ref="S3395:S3458" si="322">(((J3395/60)/60)/24)+DATE(1970,1,1)+(-5/24)</f>
        <v>41923.713310185187</v>
      </c>
      <c r="T3395" s="10">
        <f t="shared" ref="T3395:T3458" si="323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IF(D3459 = 0,0,(E3459/D3459)*100)</f>
        <v>140.19999999999999</v>
      </c>
      <c r="P3459" s="6">
        <f t="shared" ref="P3459:P3522" si="325">IF(E3459=0,0,E3459/L3459)</f>
        <v>50.981818181818184</v>
      </c>
      <c r="Q3459" t="str">
        <f t="shared" ref="Q3459:Q3522" si="326">LEFT(N3459,FIND("/",N3459) - 1)</f>
        <v>theater</v>
      </c>
      <c r="R3459" t="str">
        <f t="shared" ref="R3459:R3522" si="327">RIGHT(N3459, LEN(N3459) - FIND("/",N3459) )</f>
        <v>plays</v>
      </c>
      <c r="S3459" s="10">
        <f t="shared" ref="S3459:S3522" si="328">(((J3459/60)/60)/24)+DATE(1970,1,1)+(-5/24)</f>
        <v>42016.498344907406</v>
      </c>
      <c r="T3459" s="10">
        <f t="shared" ref="T3459:T3522" si="32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IF(D3523 = 0,0,(E3523/D3523)*100)</f>
        <v>169.42857142857144</v>
      </c>
      <c r="P3523" s="6">
        <f t="shared" ref="P3523:P3586" si="331">IF(E3523=0,0,E3523/L3523)</f>
        <v>45.615384615384613</v>
      </c>
      <c r="Q3523" t="str">
        <f t="shared" ref="Q3523:Q3586" si="332">LEFT(N3523,FIND("/",N3523) - 1)</f>
        <v>theater</v>
      </c>
      <c r="R3523" t="str">
        <f t="shared" ref="R3523:R3586" si="333">RIGHT(N3523, LEN(N3523) - FIND("/",N3523) )</f>
        <v>plays</v>
      </c>
      <c r="S3523" s="10">
        <f t="shared" ref="S3523:S3586" si="334">(((J3523/60)/60)/24)+DATE(1970,1,1)+(-5/24)</f>
        <v>41881.153009259258</v>
      </c>
      <c r="T3523" s="10">
        <f t="shared" ref="T3523:T3586" si="335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IF(D3587 = 0,0,(E3587/D3587)*100)</f>
        <v>119.11764705882352</v>
      </c>
      <c r="P3587" s="6">
        <f t="shared" ref="P3587:P3650" si="337">IF(E3587=0,0,E3587/L3587)</f>
        <v>176.08695652173913</v>
      </c>
      <c r="Q3587" t="str">
        <f t="shared" ref="Q3587:Q3650" si="338">LEFT(N3587,FIND("/",N3587) - 1)</f>
        <v>theater</v>
      </c>
      <c r="R3587" t="str">
        <f t="shared" ref="R3587:R3650" si="339">RIGHT(N3587, LEN(N3587) - FIND("/",N3587) )</f>
        <v>plays</v>
      </c>
      <c r="S3587" s="10">
        <f t="shared" ref="S3587:S3650" si="340">(((J3587/60)/60)/24)+DATE(1970,1,1)+(-5/24)</f>
        <v>41964.507986111108</v>
      </c>
      <c r="T3587" s="10">
        <f t="shared" ref="T3587:T3650" si="341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IF(D3651 = 0,0,(E3651/D3651)*100)</f>
        <v>104</v>
      </c>
      <c r="P3651" s="6">
        <f t="shared" ref="P3651:P3714" si="343">IF(E3651=0,0,E3651/L3651)</f>
        <v>97.5</v>
      </c>
      <c r="Q3651" t="str">
        <f t="shared" ref="Q3651:Q3714" si="344">LEFT(N3651,FIND("/",N3651) - 1)</f>
        <v>theater</v>
      </c>
      <c r="R3651" t="str">
        <f t="shared" ref="R3651:R3714" si="345">RIGHT(N3651, LEN(N3651) - FIND("/",N3651) )</f>
        <v>plays</v>
      </c>
      <c r="S3651" s="10">
        <f t="shared" ref="S3651:S3714" si="346">(((J3651/60)/60)/24)+DATE(1970,1,1)+(-5/24)</f>
        <v>41780.504560185182</v>
      </c>
      <c r="T3651" s="10">
        <f t="shared" ref="T3651:T3714" si="347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IF(D3715 = 0,0,(E3715/D3715)*100)</f>
        <v>101.49999999999999</v>
      </c>
      <c r="P3715" s="6">
        <f t="shared" ref="P3715:P3778" si="349">IF(E3715=0,0,E3715/L3715)</f>
        <v>106.84210526315789</v>
      </c>
      <c r="Q3715" t="str">
        <f t="shared" ref="Q3715:Q3778" si="350">LEFT(N3715,FIND("/",N3715) - 1)</f>
        <v>theater</v>
      </c>
      <c r="R3715" t="str">
        <f t="shared" ref="R3715:R3778" si="351">RIGHT(N3715, LEN(N3715) - FIND("/",N3715) )</f>
        <v>plays</v>
      </c>
      <c r="S3715" s="10">
        <f t="shared" ref="S3715:S3778" si="352">(((J3715/60)/60)/24)+DATE(1970,1,1)+(-5/24)</f>
        <v>42505.529699074068</v>
      </c>
      <c r="T3715" s="10">
        <f t="shared" ref="T3715:T3778" si="353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IF(D3779 = 0,0,(E3779/D3779)*100)</f>
        <v>143.19999999999999</v>
      </c>
      <c r="P3779" s="6">
        <f t="shared" ref="P3779:P3842" si="355">IF(E3779=0,0,E3779/L3779)</f>
        <v>48.542372881355931</v>
      </c>
      <c r="Q3779" t="str">
        <f t="shared" ref="Q3779:Q3842" si="356">LEFT(N3779,FIND("/",N3779) - 1)</f>
        <v>theater</v>
      </c>
      <c r="R3779" t="str">
        <f t="shared" ref="R3779:R3842" si="357">RIGHT(N3779, LEN(N3779) - FIND("/",N3779) )</f>
        <v>musical</v>
      </c>
      <c r="S3779" s="10">
        <f t="shared" ref="S3779:S3842" si="358">(((J3779/60)/60)/24)+DATE(1970,1,1)+(-5/24)</f>
        <v>41886.903020833335</v>
      </c>
      <c r="T3779" s="10">
        <f t="shared" ref="T3779:T3842" si="35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IF(D3843 = 0,0,(E3843/D3843)*100)</f>
        <v>8.7200000000000006</v>
      </c>
      <c r="P3843" s="6">
        <f t="shared" ref="P3843:P3906" si="361">IF(E3843=0,0,E3843/L3843)</f>
        <v>25.647058823529413</v>
      </c>
      <c r="Q3843" t="str">
        <f t="shared" ref="Q3843:Q3906" si="362">LEFT(N3843,FIND("/",N3843) - 1)</f>
        <v>theater</v>
      </c>
      <c r="R3843" t="str">
        <f t="shared" ref="R3843:R3906" si="363">RIGHT(N3843, LEN(N3843) - FIND("/",N3843) )</f>
        <v>plays</v>
      </c>
      <c r="S3843" s="10">
        <f t="shared" ref="S3843:S3906" si="364">(((J3843/60)/60)/24)+DATE(1970,1,1)+(-5/24)</f>
        <v>41780.57739583333</v>
      </c>
      <c r="T3843" s="10">
        <f t="shared" ref="T3843:T3906" si="365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IF(D3907 = 0,0,(E3907/D3907)*100)</f>
        <v>11.533333333333333</v>
      </c>
      <c r="P3907" s="6">
        <f t="shared" ref="P3907:P3970" si="367">IF(E3907=0,0,E3907/L3907)</f>
        <v>24.714285714285715</v>
      </c>
      <c r="Q3907" t="str">
        <f t="shared" ref="Q3907:Q3970" si="368">LEFT(N3907,FIND("/",N3907) - 1)</f>
        <v>theater</v>
      </c>
      <c r="R3907" t="str">
        <f t="shared" ref="R3907:R3970" si="369">RIGHT(N3907, LEN(N3907) - FIND("/",N3907) )</f>
        <v>plays</v>
      </c>
      <c r="S3907" s="10">
        <f t="shared" ref="S3907:S3970" si="370">(((J3907/60)/60)/24)+DATE(1970,1,1)+(-5/24)</f>
        <v>42124.415543981479</v>
      </c>
      <c r="T3907" s="10">
        <f t="shared" ref="T3907:T3970" si="371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IF(D3971 = 0,0,(E3971/D3971)*100)</f>
        <v>7.4690265486725664</v>
      </c>
      <c r="P3971" s="6">
        <f t="shared" ref="P3971:P4034" si="373">IF(E3971=0,0,E3971/L3971)</f>
        <v>35.166666666666664</v>
      </c>
      <c r="Q3971" t="str">
        <f t="shared" ref="Q3971:Q4034" si="374">LEFT(N3971,FIND("/",N3971) - 1)</f>
        <v>theater</v>
      </c>
      <c r="R3971" t="str">
        <f t="shared" ref="R3971:R4034" si="375">RIGHT(N3971, LEN(N3971) - FIND("/",N3971) )</f>
        <v>plays</v>
      </c>
      <c r="S3971" s="10">
        <f t="shared" ref="S3971:S4034" si="376">(((J3971/60)/60)/24)+DATE(1970,1,1)+(-5/24)</f>
        <v>42601.646365740737</v>
      </c>
      <c r="T3971" s="10">
        <f t="shared" ref="T3971:T4034" si="377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IF(D4035 = 0,0,(E4035/D4035)*100)</f>
        <v>25.698702928870294</v>
      </c>
      <c r="P4035" s="6">
        <f t="shared" ref="P4035:P4098" si="379">IF(E4035=0,0,E4035/L4035)</f>
        <v>65.340319148936175</v>
      </c>
      <c r="Q4035" t="str">
        <f t="shared" ref="Q4035:Q4098" si="380">LEFT(N4035,FIND("/",N4035) - 1)</f>
        <v>theater</v>
      </c>
      <c r="R4035" t="str">
        <f t="shared" ref="R4035:R4098" si="381">RIGHT(N4035, LEN(N4035) - FIND("/",N4035) )</f>
        <v>plays</v>
      </c>
      <c r="S4035" s="10">
        <f t="shared" ref="S4035:S4098" si="382">(((J4035/60)/60)/24)+DATE(1970,1,1)+(-5/24)</f>
        <v>42614.06046296296</v>
      </c>
      <c r="T4035" s="10">
        <f t="shared" ref="T4035:T4098" si="383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IF(D4099 = 0,0,(E4099/D4099)*100)</f>
        <v>0</v>
      </c>
      <c r="P4099" s="6">
        <f t="shared" ref="P4099:P4115" si="385">IF(E4099=0,0,E4099/L4099)</f>
        <v>0</v>
      </c>
      <c r="Q4099" t="str">
        <f t="shared" ref="Q4099:Q4115" si="386">LEFT(N4099,FIND("/",N4099) - 1)</f>
        <v>theater</v>
      </c>
      <c r="R4099" t="str">
        <f t="shared" ref="R4099:R4115" si="387">RIGHT(N4099, LEN(N4099) - FIND("/",N4099) )</f>
        <v>plays</v>
      </c>
      <c r="S4099" s="10">
        <f t="shared" ref="S4099:S4115" si="388">(((J4099/60)/60)/24)+DATE(1970,1,1)+(-5/24)</f>
        <v>42344.616168981483</v>
      </c>
      <c r="T4099" s="10">
        <f t="shared" ref="T4099:T4115" si="38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77518-44DA-F540-B456-35DA9F05735A}">
  <sheetPr codeName="Sheet2"/>
  <dimension ref="A1:F14"/>
  <sheetViews>
    <sheetView zoomScaleNormal="100" workbookViewId="0">
      <selection activeCell="G9" sqref="G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8360</v>
      </c>
      <c r="B3" s="8" t="s">
        <v>8363</v>
      </c>
    </row>
    <row r="4" spans="1:6" x14ac:dyDescent="0.2">
      <c r="A4" s="8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">
      <c r="A5" s="9" t="s">
        <v>8310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s="9" t="s">
        <v>8336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s="9" t="s">
        <v>8333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9" t="s">
        <v>8331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8325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9" t="s">
        <v>8338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9" t="s">
        <v>8322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s="9" t="s">
        <v>8319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s="9" t="s">
        <v>8317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s="9" t="s">
        <v>8362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sortState xmlns:xlrd2="http://schemas.microsoft.com/office/spreadsheetml/2017/richdata2" columnSort="1" ref="A3:F14">
    <sortCondition descending="1" ref="E4"/>
  </sortState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11E2D-0E05-C543-BE3C-D835273F1815}">
  <sheetPr codeName="Sheet3"/>
  <dimension ref="A1:F47"/>
  <sheetViews>
    <sheetView topLeftCell="A17" workbookViewId="0">
      <selection activeCell="C5" sqref="C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8360</v>
      </c>
      <c r="B4" s="8" t="s">
        <v>8363</v>
      </c>
    </row>
    <row r="5" spans="1:6" x14ac:dyDescent="0.2">
      <c r="A5" s="8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9" t="s">
        <v>8316</v>
      </c>
      <c r="B6" s="7"/>
      <c r="C6" s="7"/>
      <c r="D6" s="7">
        <v>100</v>
      </c>
      <c r="E6" s="7"/>
      <c r="F6" s="7">
        <v>100</v>
      </c>
    </row>
    <row r="7" spans="1:6" x14ac:dyDescent="0.2">
      <c r="A7" s="9" t="s">
        <v>8344</v>
      </c>
      <c r="B7" s="7"/>
      <c r="C7" s="7"/>
      <c r="D7" s="7"/>
      <c r="E7" s="7">
        <v>20</v>
      </c>
      <c r="F7" s="7">
        <v>20</v>
      </c>
    </row>
    <row r="8" spans="1:6" x14ac:dyDescent="0.2">
      <c r="A8" s="9" t="s">
        <v>8332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8358</v>
      </c>
      <c r="B9" s="7"/>
      <c r="C9" s="7"/>
      <c r="D9" s="7">
        <v>40</v>
      </c>
      <c r="E9" s="7"/>
      <c r="F9" s="7">
        <v>40</v>
      </c>
    </row>
    <row r="10" spans="1:6" x14ac:dyDescent="0.2">
      <c r="A10" s="9" t="s">
        <v>8354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8314</v>
      </c>
      <c r="B12" s="7"/>
      <c r="C12" s="7"/>
      <c r="D12" s="7">
        <v>80</v>
      </c>
      <c r="E12" s="7"/>
      <c r="F12" s="7">
        <v>80</v>
      </c>
    </row>
    <row r="13" spans="1:6" x14ac:dyDescent="0.2">
      <c r="A13" s="9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8347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">
      <c r="A15" s="9" t="s">
        <v>8324</v>
      </c>
      <c r="B15" s="7"/>
      <c r="C15" s="7"/>
      <c r="D15" s="7">
        <v>40</v>
      </c>
      <c r="E15" s="7"/>
      <c r="F15" s="7">
        <v>40</v>
      </c>
    </row>
    <row r="16" spans="1:6" x14ac:dyDescent="0.2">
      <c r="A16" s="9" t="s">
        <v>8337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">
      <c r="A17" s="9" t="s">
        <v>8348</v>
      </c>
      <c r="B17" s="7"/>
      <c r="C17" s="7"/>
      <c r="D17" s="7">
        <v>20</v>
      </c>
      <c r="E17" s="7"/>
      <c r="F17" s="7">
        <v>20</v>
      </c>
    </row>
    <row r="18" spans="1:6" x14ac:dyDescent="0.2">
      <c r="A18" s="9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8329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">
      <c r="A20" s="9" t="s">
        <v>8328</v>
      </c>
      <c r="B20" s="7"/>
      <c r="C20" s="7"/>
      <c r="D20" s="7">
        <v>60</v>
      </c>
      <c r="E20" s="7"/>
      <c r="F20" s="7">
        <v>60</v>
      </c>
    </row>
    <row r="21" spans="1:6" x14ac:dyDescent="0.2">
      <c r="A21" s="9" t="s">
        <v>8356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">
      <c r="A22" s="9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8335</v>
      </c>
      <c r="B23" s="7"/>
      <c r="C23" s="7"/>
      <c r="D23" s="7">
        <v>40</v>
      </c>
      <c r="E23" s="7"/>
      <c r="F23" s="7">
        <v>40</v>
      </c>
    </row>
    <row r="24" spans="1:6" x14ac:dyDescent="0.2">
      <c r="A24" s="9" t="s">
        <v>8359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">
      <c r="A25" s="9" t="s">
        <v>8343</v>
      </c>
      <c r="B25" s="7"/>
      <c r="C25" s="7"/>
      <c r="D25" s="7">
        <v>20</v>
      </c>
      <c r="E25" s="7"/>
      <c r="F25" s="7">
        <v>20</v>
      </c>
    </row>
    <row r="26" spans="1:6" x14ac:dyDescent="0.2">
      <c r="A26" s="9" t="s">
        <v>8323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8350</v>
      </c>
      <c r="B27" s="7"/>
      <c r="C27" s="7"/>
      <c r="D27" s="7">
        <v>20</v>
      </c>
      <c r="E27" s="7"/>
      <c r="F27" s="7">
        <v>20</v>
      </c>
    </row>
    <row r="28" spans="1:6" x14ac:dyDescent="0.2">
      <c r="A28" s="9" t="s">
        <v>8339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">
      <c r="A29" s="9" t="s">
        <v>8345</v>
      </c>
      <c r="B29" s="7"/>
      <c r="C29" s="7"/>
      <c r="D29" s="7">
        <v>20</v>
      </c>
      <c r="E29" s="7"/>
      <c r="F29" s="7">
        <v>20</v>
      </c>
    </row>
    <row r="30" spans="1:6" x14ac:dyDescent="0.2">
      <c r="A30" s="9" t="s">
        <v>8318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">
      <c r="A31" s="9" t="s">
        <v>8346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8353</v>
      </c>
      <c r="B33" s="7"/>
      <c r="C33" s="7"/>
      <c r="D33" s="7">
        <v>20</v>
      </c>
      <c r="E33" s="7"/>
      <c r="F33" s="7">
        <v>20</v>
      </c>
    </row>
    <row r="34" spans="1:6" x14ac:dyDescent="0.2">
      <c r="A34" s="9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8313</v>
      </c>
      <c r="B35" s="7"/>
      <c r="C35" s="7"/>
      <c r="D35" s="7"/>
      <c r="E35" s="7">
        <v>40</v>
      </c>
      <c r="F35" s="7">
        <v>40</v>
      </c>
    </row>
    <row r="36" spans="1:6" x14ac:dyDescent="0.2">
      <c r="A36" s="9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8352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">
      <c r="A38" s="9" t="s">
        <v>8355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">
      <c r="A39" s="9" t="s">
        <v>8357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">
      <c r="A40" s="9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8341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">
      <c r="A43" s="9" t="s">
        <v>8334</v>
      </c>
      <c r="B43" s="7"/>
      <c r="C43" s="7"/>
      <c r="D43" s="7">
        <v>100</v>
      </c>
      <c r="E43" s="7"/>
      <c r="F43" s="7">
        <v>100</v>
      </c>
    </row>
    <row r="44" spans="1:6" x14ac:dyDescent="0.2">
      <c r="A44" s="9" t="s">
        <v>8321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">
      <c r="A45" s="9" t="s">
        <v>8320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">
      <c r="A46" s="9" t="s">
        <v>8340</v>
      </c>
      <c r="B46" s="7"/>
      <c r="C46" s="7"/>
      <c r="D46" s="7"/>
      <c r="E46" s="7">
        <v>20</v>
      </c>
      <c r="F46" s="7">
        <v>20</v>
      </c>
    </row>
    <row r="47" spans="1:6" x14ac:dyDescent="0.2">
      <c r="A47" s="9" t="s">
        <v>8362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sortState xmlns:xlrd2="http://schemas.microsoft.com/office/spreadsheetml/2017/richdata2" columnSort="1" ref="A4:F47">
    <sortCondition descending="1" ref="C5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C8C40-3E90-474C-9CE3-F6C53E896B23}">
  <sheetPr codeName="Sheet4"/>
  <dimension ref="A1:F18"/>
  <sheetViews>
    <sheetView tabSelected="1" workbookViewId="0">
      <selection activeCell="C5" sqref="C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8367</v>
      </c>
      <c r="B1" t="s">
        <v>8364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8360</v>
      </c>
      <c r="B4" s="8" t="s">
        <v>8363</v>
      </c>
    </row>
    <row r="5" spans="1:6" x14ac:dyDescent="0.2">
      <c r="A5" s="8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11" t="s">
        <v>8368</v>
      </c>
      <c r="B6" s="7">
        <v>182</v>
      </c>
      <c r="C6" s="7">
        <v>2</v>
      </c>
      <c r="D6" s="7">
        <v>149</v>
      </c>
      <c r="E6" s="7">
        <v>34</v>
      </c>
      <c r="F6" s="7">
        <v>367</v>
      </c>
    </row>
    <row r="7" spans="1:6" x14ac:dyDescent="0.2">
      <c r="A7" s="11" t="s">
        <v>8369</v>
      </c>
      <c r="B7" s="7">
        <v>202</v>
      </c>
      <c r="C7" s="7">
        <v>18</v>
      </c>
      <c r="D7" s="7">
        <v>106</v>
      </c>
      <c r="E7" s="7">
        <v>27</v>
      </c>
      <c r="F7" s="7">
        <v>353</v>
      </c>
    </row>
    <row r="8" spans="1:6" x14ac:dyDescent="0.2">
      <c r="A8" s="11" t="s">
        <v>8370</v>
      </c>
      <c r="B8" s="7">
        <v>180</v>
      </c>
      <c r="C8" s="7">
        <v>30</v>
      </c>
      <c r="D8" s="7">
        <v>108</v>
      </c>
      <c r="E8" s="7">
        <v>28</v>
      </c>
      <c r="F8" s="7">
        <v>346</v>
      </c>
    </row>
    <row r="9" spans="1:6" x14ac:dyDescent="0.2">
      <c r="A9" s="11" t="s">
        <v>8371</v>
      </c>
      <c r="B9" s="7">
        <v>192</v>
      </c>
      <c r="C9" s="7"/>
      <c r="D9" s="7">
        <v>102</v>
      </c>
      <c r="E9" s="7">
        <v>27</v>
      </c>
      <c r="F9" s="7">
        <v>321</v>
      </c>
    </row>
    <row r="10" spans="1:6" x14ac:dyDescent="0.2">
      <c r="A10" s="11" t="s">
        <v>8372</v>
      </c>
      <c r="B10" s="7">
        <v>234</v>
      </c>
      <c r="C10" s="7"/>
      <c r="D10" s="7">
        <v>126</v>
      </c>
      <c r="E10" s="7">
        <v>26</v>
      </c>
      <c r="F10" s="7">
        <v>386</v>
      </c>
    </row>
    <row r="11" spans="1:6" x14ac:dyDescent="0.2">
      <c r="A11" s="11" t="s">
        <v>8373</v>
      </c>
      <c r="B11" s="7">
        <v>211</v>
      </c>
      <c r="C11" s="7"/>
      <c r="D11" s="7">
        <v>147</v>
      </c>
      <c r="E11" s="7">
        <v>27</v>
      </c>
      <c r="F11" s="7">
        <v>385</v>
      </c>
    </row>
    <row r="12" spans="1:6" x14ac:dyDescent="0.2">
      <c r="A12" s="11" t="s">
        <v>8374</v>
      </c>
      <c r="B12" s="7">
        <v>194</v>
      </c>
      <c r="C12" s="7"/>
      <c r="D12" s="7">
        <v>150</v>
      </c>
      <c r="E12" s="7">
        <v>43</v>
      </c>
      <c r="F12" s="7">
        <v>387</v>
      </c>
    </row>
    <row r="13" spans="1:6" x14ac:dyDescent="0.2">
      <c r="A13" s="11" t="s">
        <v>8375</v>
      </c>
      <c r="B13" s="7">
        <v>166</v>
      </c>
      <c r="C13" s="7"/>
      <c r="D13" s="7">
        <v>134</v>
      </c>
      <c r="E13" s="7">
        <v>33</v>
      </c>
      <c r="F13" s="7">
        <v>333</v>
      </c>
    </row>
    <row r="14" spans="1:6" x14ac:dyDescent="0.2">
      <c r="A14" s="11" t="s">
        <v>8376</v>
      </c>
      <c r="B14" s="7">
        <v>147</v>
      </c>
      <c r="C14" s="7"/>
      <c r="D14" s="7">
        <v>127</v>
      </c>
      <c r="E14" s="7">
        <v>24</v>
      </c>
      <c r="F14" s="7">
        <v>298</v>
      </c>
    </row>
    <row r="15" spans="1:6" x14ac:dyDescent="0.2">
      <c r="A15" s="11" t="s">
        <v>8377</v>
      </c>
      <c r="B15" s="7">
        <v>183</v>
      </c>
      <c r="C15" s="7"/>
      <c r="D15" s="7">
        <v>149</v>
      </c>
      <c r="E15" s="7">
        <v>20</v>
      </c>
      <c r="F15" s="7">
        <v>352</v>
      </c>
    </row>
    <row r="16" spans="1:6" x14ac:dyDescent="0.2">
      <c r="A16" s="11" t="s">
        <v>8378</v>
      </c>
      <c r="B16" s="7">
        <v>183</v>
      </c>
      <c r="C16" s="7"/>
      <c r="D16" s="7">
        <v>114</v>
      </c>
      <c r="E16" s="7">
        <v>37</v>
      </c>
      <c r="F16" s="7">
        <v>334</v>
      </c>
    </row>
    <row r="17" spans="1:6" x14ac:dyDescent="0.2">
      <c r="A17" s="11" t="s">
        <v>8379</v>
      </c>
      <c r="B17" s="7">
        <v>111</v>
      </c>
      <c r="C17" s="7"/>
      <c r="D17" s="7">
        <v>118</v>
      </c>
      <c r="E17" s="7">
        <v>23</v>
      </c>
      <c r="F17" s="7">
        <v>252</v>
      </c>
    </row>
    <row r="18" spans="1:6" x14ac:dyDescent="0.2">
      <c r="A18" s="11" t="s">
        <v>8362</v>
      </c>
      <c r="B18" s="7">
        <v>2185</v>
      </c>
      <c r="C18" s="7">
        <v>50</v>
      </c>
      <c r="D18" s="7">
        <v>1530</v>
      </c>
      <c r="E18" s="7">
        <v>349</v>
      </c>
      <c r="F18" s="7">
        <v>4114</v>
      </c>
    </row>
  </sheetData>
  <sortState xmlns:xlrd2="http://schemas.microsoft.com/office/spreadsheetml/2017/richdata2" columnSort="1" ref="A4:F10">
    <sortCondition descending="1" ref="C5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945CA-BD9B-4542-A719-D7CD180CA37A}">
  <sheetPr codeName="Sheet5"/>
  <dimension ref="A1:H13"/>
  <sheetViews>
    <sheetView zoomScale="125" workbookViewId="0">
      <selection activeCell="F9" sqref="F9"/>
    </sheetView>
  </sheetViews>
  <sheetFormatPr baseColWidth="10" defaultRowHeight="15" x14ac:dyDescent="0.2"/>
  <cols>
    <col min="1" max="1" width="31.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2" customFormat="1" x14ac:dyDescent="0.2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">
      <c r="A2" t="s">
        <v>8388</v>
      </c>
      <c r="B2">
        <f>COUNTIFS('Initial Data'!$F$2:$F$4115, "successful",'Initial Data'!$D$2:$D$4115, "&lt;1000")</f>
        <v>322</v>
      </c>
      <c r="C2">
        <f>COUNTIFS('Initial Data'!$F$2:$F$4115, "failed",'Initial Data'!$D$2:$D$4115, "&lt;1000")</f>
        <v>113</v>
      </c>
      <c r="D2">
        <f>COUNTIFS('Initial Data'!$F$2:$F$4115, "canceled",'Initial Data'!$D$2:$D$4115, "&lt;1000")</f>
        <v>18</v>
      </c>
      <c r="E2">
        <f>SUM(B2:D2)</f>
        <v>453</v>
      </c>
      <c r="F2" s="13">
        <f>B2/$E2</f>
        <v>0.71081677704194257</v>
      </c>
      <c r="G2" s="13">
        <f t="shared" ref="G2:H13" si="0">C2/$E2</f>
        <v>0.24944812362030905</v>
      </c>
      <c r="H2" s="13">
        <f t="shared" si="0"/>
        <v>3.9735099337748346E-2</v>
      </c>
    </row>
    <row r="3" spans="1:8" x14ac:dyDescent="0.2">
      <c r="A3" t="s">
        <v>8389</v>
      </c>
      <c r="B3">
        <f>COUNTIFS('Initial Data'!$F$2:$F$4115, "successful",'Initial Data'!$D$2:$D$4115, "&gt;=1000",'Initial Data'!$D$2:$D$4115, "&lt;5000")</f>
        <v>932</v>
      </c>
      <c r="C3">
        <f>COUNTIFS('Initial Data'!$F$2:$F$4115, "failed",'Initial Data'!$D$2:$D$4115, "&gt;=1000",'Initial Data'!$D$2:$D$4115, "&lt;5000")</f>
        <v>420</v>
      </c>
      <c r="D3">
        <f>COUNTIFS('Initial Data'!$F$2:$F$4115, "canceled",'Initial Data'!$D$2:$D$4115, "&gt;=1000",'Initial Data'!$D$2:$D$4115, "&lt;5000")</f>
        <v>60</v>
      </c>
      <c r="E3">
        <f t="shared" ref="E3:E13" si="1">SUM(B3:D3)</f>
        <v>1412</v>
      </c>
      <c r="F3" s="13">
        <f t="shared" ref="F3:F13" si="2">B3/$E3</f>
        <v>0.66005665722379603</v>
      </c>
      <c r="G3" s="13">
        <f t="shared" si="0"/>
        <v>0.29745042492917845</v>
      </c>
      <c r="H3" s="13">
        <f t="shared" si="0"/>
        <v>4.2492917847025496E-2</v>
      </c>
    </row>
    <row r="4" spans="1:8" x14ac:dyDescent="0.2">
      <c r="A4" t="s">
        <v>8390</v>
      </c>
      <c r="B4">
        <f>COUNTIFS('Initial Data'!$F$2:$F$4115, "successful",'Initial Data'!$D$2:$D$4115, "&gt;=5000",'Initial Data'!$D$2:$D$4115, "&lt;10000")</f>
        <v>381</v>
      </c>
      <c r="C4">
        <f>COUNTIFS('Initial Data'!$F$2:$F$4115, "failed",'Initial Data'!$D$2:$D$4115, "&gt;=5000",'Initial Data'!$D$2:$D$4115, "&lt;10000")</f>
        <v>283</v>
      </c>
      <c r="D4">
        <f>COUNTIFS('Initial Data'!$F$2:$F$4115, "canceled",'Initial Data'!$D$2:$D$4115, "&gt;=5000",'Initial Data'!$D$2:$D$4115, "&lt;10000")</f>
        <v>52</v>
      </c>
      <c r="E4">
        <f t="shared" si="1"/>
        <v>716</v>
      </c>
      <c r="F4" s="13">
        <f t="shared" si="2"/>
        <v>0.53212290502793291</v>
      </c>
      <c r="G4" s="13">
        <f t="shared" si="0"/>
        <v>0.39525139664804471</v>
      </c>
      <c r="H4" s="13">
        <f t="shared" si="0"/>
        <v>7.2625698324022353E-2</v>
      </c>
    </row>
    <row r="5" spans="1:8" x14ac:dyDescent="0.2">
      <c r="A5" t="s">
        <v>8391</v>
      </c>
      <c r="B5">
        <f>COUNTIFS('Initial Data'!$F$2:$F$4115, "successful",'Initial Data'!$D$2:$D$4115, "&gt;=10000",'Initial Data'!$D$2:$D$4115, "&lt;15000")</f>
        <v>168</v>
      </c>
      <c r="C5">
        <f>COUNTIFS('Initial Data'!$F$2:$F$4115, "failed",'Initial Data'!$D$2:$D$4115, "&gt;=10000",'Initial Data'!$D$2:$D$4115, "&lt;15000")</f>
        <v>144</v>
      </c>
      <c r="D5">
        <f>COUNTIFS('Initial Data'!$F$2:$F$4115, "canceled",'Initial Data'!$D$2:$D$4115, "&gt;=10000",'Initial Data'!$D$2:$D$4115, "&lt;15000")</f>
        <v>40</v>
      </c>
      <c r="E5">
        <f t="shared" si="1"/>
        <v>352</v>
      </c>
      <c r="F5" s="13">
        <f t="shared" si="2"/>
        <v>0.47727272727272729</v>
      </c>
      <c r="G5" s="13">
        <f t="shared" si="0"/>
        <v>0.40909090909090912</v>
      </c>
      <c r="H5" s="13">
        <f t="shared" si="0"/>
        <v>0.11363636363636363</v>
      </c>
    </row>
    <row r="6" spans="1:8" x14ac:dyDescent="0.2">
      <c r="A6" t="s">
        <v>8392</v>
      </c>
      <c r="B6">
        <f>COUNTIFS('Initial Data'!$F$2:$F$4115, "successful",'Initial Data'!$D$2:$D$4115, "&gt;=15000",'Initial Data'!$D$2:$D$4115, "&lt;20000")</f>
        <v>94</v>
      </c>
      <c r="C6">
        <f>COUNTIFS('Initial Data'!$F$2:$F$4115, "failed",'Initial Data'!$D$2:$D$4115, "&gt;=15000",'Initial Data'!$D$2:$D$4115, "&lt;20000")</f>
        <v>90</v>
      </c>
      <c r="D6">
        <f>COUNTIFS('Initial Data'!$F$2:$F$4115, "canceled",'Initial Data'!$D$2:$D$4115, "&gt;=15000",'Initial Data'!$D$2:$D$4115, "&lt;20000")</f>
        <v>17</v>
      </c>
      <c r="E6">
        <f t="shared" si="1"/>
        <v>201</v>
      </c>
      <c r="F6" s="13">
        <f t="shared" si="2"/>
        <v>0.46766169154228854</v>
      </c>
      <c r="G6" s="13">
        <f t="shared" si="0"/>
        <v>0.44776119402985076</v>
      </c>
      <c r="H6" s="13">
        <f t="shared" si="0"/>
        <v>8.45771144278607E-2</v>
      </c>
    </row>
    <row r="7" spans="1:8" x14ac:dyDescent="0.2">
      <c r="A7" t="s">
        <v>8393</v>
      </c>
      <c r="B7">
        <f>COUNTIFS('Initial Data'!$F$2:$F$4115, "successful",'Initial Data'!$D$2:$D$4115, "&gt;=20000",'Initial Data'!$D$2:$D$4115, "&lt;25000")</f>
        <v>62</v>
      </c>
      <c r="C7">
        <f>COUNTIFS('Initial Data'!$F$2:$F$4115, "failed",'Initial Data'!$D$2:$D$4115, "&gt;=20000",'Initial Data'!$D$2:$D$4115, "&lt;25000")</f>
        <v>72</v>
      </c>
      <c r="D7">
        <f>COUNTIFS('Initial Data'!$F$2:$F$4115, "canceled",'Initial Data'!$D$2:$D$4115, "&gt;=20000",'Initial Data'!$D$2:$D$4115, "&lt;25000")</f>
        <v>14</v>
      </c>
      <c r="E7">
        <f t="shared" si="1"/>
        <v>148</v>
      </c>
      <c r="F7" s="13">
        <f t="shared" si="2"/>
        <v>0.41891891891891891</v>
      </c>
      <c r="G7" s="13">
        <f t="shared" si="0"/>
        <v>0.48648648648648651</v>
      </c>
      <c r="H7" s="13">
        <f t="shared" si="0"/>
        <v>9.45945945945946E-2</v>
      </c>
    </row>
    <row r="8" spans="1:8" x14ac:dyDescent="0.2">
      <c r="A8" t="s">
        <v>8394</v>
      </c>
      <c r="B8">
        <f>COUNTIFS('Initial Data'!$F$2:$F$4115, "successful",'Initial Data'!$D$2:$D$4115, "&gt;=25000",'Initial Data'!$D$2:$D$4115, "&lt;30000")</f>
        <v>55</v>
      </c>
      <c r="C8">
        <f>COUNTIFS('Initial Data'!$F$2:$F$4115, "failed",'Initial Data'!$D$2:$D$4115, "&gt;=25000",'Initial Data'!$D$2:$D$4115, "&lt;30000")</f>
        <v>64</v>
      </c>
      <c r="D8">
        <f>COUNTIFS('Initial Data'!$F$2:$F$4115, "canceled",'Initial Data'!$D$2:$D$4115, "&gt;=25000",'Initial Data'!$D$2:$D$4115, "&lt;30000")</f>
        <v>18</v>
      </c>
      <c r="E8">
        <f t="shared" si="1"/>
        <v>137</v>
      </c>
      <c r="F8" s="13">
        <f t="shared" si="2"/>
        <v>0.40145985401459855</v>
      </c>
      <c r="G8" s="13">
        <f t="shared" si="0"/>
        <v>0.46715328467153283</v>
      </c>
      <c r="H8" s="13">
        <f t="shared" si="0"/>
        <v>0.13138686131386862</v>
      </c>
    </row>
    <row r="9" spans="1:8" x14ac:dyDescent="0.2">
      <c r="A9" t="s">
        <v>8395</v>
      </c>
      <c r="B9">
        <f>COUNTIFS('Initial Data'!$F$2:$F$4115, "successful",'Initial Data'!$D$2:$D$4115, "&gt;=30000",'Initial Data'!$D$2:$D$4115, "&lt;35000")</f>
        <v>32</v>
      </c>
      <c r="C9">
        <f>COUNTIFS('Initial Data'!$F$2:$F$4115, "failed",'Initial Data'!$D$2:$D$4115, "&gt;=30000",'Initial Data'!$D$2:$D$4115, "&lt;35000")</f>
        <v>37</v>
      </c>
      <c r="D9">
        <f>COUNTIFS('Initial Data'!$F$2:$F$4115, "canceled",'Initial Data'!$D$2:$D$4115, "&gt;=30000",'Initial Data'!$D$2:$D$4115, "&lt;35000")</f>
        <v>13</v>
      </c>
      <c r="E9">
        <f t="shared" si="1"/>
        <v>82</v>
      </c>
      <c r="F9" s="13">
        <f t="shared" si="2"/>
        <v>0.3902439024390244</v>
      </c>
      <c r="G9" s="13">
        <f t="shared" si="0"/>
        <v>0.45121951219512196</v>
      </c>
      <c r="H9" s="13">
        <f t="shared" si="0"/>
        <v>0.15853658536585366</v>
      </c>
    </row>
    <row r="10" spans="1:8" x14ac:dyDescent="0.2">
      <c r="A10" t="s">
        <v>8396</v>
      </c>
      <c r="B10">
        <f>COUNTIFS('Initial Data'!$F$2:$F$4115, "successful",'Initial Data'!$D$2:$D$4115, "&gt;=35000",'Initial Data'!$D$2:$D$4115, "&lt;40000")</f>
        <v>26</v>
      </c>
      <c r="C10">
        <f>COUNTIFS('Initial Data'!$F$2:$F$4115, "failed",'Initial Data'!$D$2:$D$4115, "&gt;=35000",'Initial Data'!$D$2:$D$4115, "&lt;40000")</f>
        <v>22</v>
      </c>
      <c r="D10">
        <f>COUNTIFS('Initial Data'!$F$2:$F$4115, "canceled",'Initial Data'!$D$2:$D$4115, "&gt;=35000",'Initial Data'!$D$2:$D$4115, "&lt;40000")</f>
        <v>7</v>
      </c>
      <c r="E10">
        <f t="shared" si="1"/>
        <v>55</v>
      </c>
      <c r="F10" s="13">
        <f t="shared" si="2"/>
        <v>0.47272727272727272</v>
      </c>
      <c r="G10" s="13">
        <f t="shared" si="0"/>
        <v>0.4</v>
      </c>
      <c r="H10" s="13">
        <f t="shared" si="0"/>
        <v>0.12727272727272726</v>
      </c>
    </row>
    <row r="11" spans="1:8" x14ac:dyDescent="0.2">
      <c r="A11" t="s">
        <v>8397</v>
      </c>
      <c r="B11">
        <f>COUNTIFS('Initial Data'!$F$2:$F$4115, "successful",'Initial Data'!$D$2:$D$4115, "&gt;=40000",'Initial Data'!$D$2:$D$4115, "&lt;45000")</f>
        <v>21</v>
      </c>
      <c r="C11">
        <f>COUNTIFS('Initial Data'!$F$2:$F$4115, "failed",'Initial Data'!$D$2:$D$4115, "&gt;=40000",'Initial Data'!$D$2:$D$4115, "&lt;45000")</f>
        <v>16</v>
      </c>
      <c r="D11">
        <f>COUNTIFS('Initial Data'!$F$2:$F$4115, "canceled",'Initial Data'!$D$2:$D$4115, "&gt;=40000",'Initial Data'!$D$2:$D$4115, "&lt;45000")</f>
        <v>6</v>
      </c>
      <c r="E11">
        <f t="shared" si="1"/>
        <v>43</v>
      </c>
      <c r="F11" s="13">
        <f t="shared" si="2"/>
        <v>0.48837209302325579</v>
      </c>
      <c r="G11" s="13">
        <f t="shared" si="0"/>
        <v>0.37209302325581395</v>
      </c>
      <c r="H11" s="13">
        <f t="shared" si="0"/>
        <v>0.13953488372093023</v>
      </c>
    </row>
    <row r="12" spans="1:8" x14ac:dyDescent="0.2">
      <c r="A12" t="s">
        <v>8398</v>
      </c>
      <c r="B12">
        <f>COUNTIFS('Initial Data'!$F$2:$F$4115, "successful",'Initial Data'!$D$2:$D$4115, "&gt;=45000",'Initial Data'!$D$2:$D$4115, "&lt;50000")</f>
        <v>6</v>
      </c>
      <c r="C12">
        <f>COUNTIFS('Initial Data'!$F$2:$F$4115, "failed",'Initial Data'!$D$2:$D$4115, "&gt;=45000",'Initial Data'!$D$2:$D$4115, "&lt;50000")</f>
        <v>11</v>
      </c>
      <c r="D12">
        <f>COUNTIFS('Initial Data'!$F$2:$F$4115, "canceled",'Initial Data'!$D$2:$D$4115, "&gt;=45000",'Initial Data'!$D$2:$D$4115, "&lt;50000")</f>
        <v>4</v>
      </c>
      <c r="E12">
        <f t="shared" si="1"/>
        <v>21</v>
      </c>
      <c r="F12" s="13">
        <f t="shared" si="2"/>
        <v>0.2857142857142857</v>
      </c>
      <c r="G12" s="13">
        <f t="shared" si="0"/>
        <v>0.52380952380952384</v>
      </c>
      <c r="H12" s="13">
        <f t="shared" si="0"/>
        <v>0.19047619047619047</v>
      </c>
    </row>
    <row r="13" spans="1:8" x14ac:dyDescent="0.2">
      <c r="A13" t="s">
        <v>8399</v>
      </c>
      <c r="B13">
        <f>COUNTIFS('Initial Data'!$F$2:$F$4115, "successful",'Initial Data'!$D$2:$D$4115, "&gt;=50000")</f>
        <v>86</v>
      </c>
      <c r="C13">
        <f>COUNTIFS('Initial Data'!$F$2:$F$4115, "failed",'Initial Data'!$D$2:$D$4115, "&gt;=50000")</f>
        <v>258</v>
      </c>
      <c r="D13">
        <f>COUNTIFS('Initial Data'!$F$2:$F$4115, "canceled",'Initial Data'!$D$2:$D$4115, "&gt;=50000")</f>
        <v>100</v>
      </c>
      <c r="E13">
        <f t="shared" si="1"/>
        <v>444</v>
      </c>
      <c r="F13" s="13">
        <f t="shared" si="2"/>
        <v>0.19369369369369369</v>
      </c>
      <c r="G13" s="13">
        <f t="shared" si="0"/>
        <v>0.58108108108108103</v>
      </c>
      <c r="H13" s="13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Initial Data</vt:lpstr>
      <vt:lpstr>Pivot 1</vt:lpstr>
      <vt:lpstr>Pivot 2</vt:lpstr>
      <vt:lpstr>Pivot 3</vt:lpstr>
      <vt:lpstr>Bonus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2019-08-24T22:08:41Z</dcterms:modified>
</cp:coreProperties>
</file>