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91" firstSheet="0" activeTab="9"/>
  </bookViews>
  <sheets>
    <sheet name="Cluster-001" sheetId="1" state="visible" r:id="rId2"/>
    <sheet name="Cluster-002" sheetId="2" state="visible" r:id="rId3"/>
    <sheet name="Cluster-003" sheetId="3" state="visible" r:id="rId4"/>
    <sheet name="Cluster-004" sheetId="4" state="visible" r:id="rId5"/>
    <sheet name="Cluster-005" sheetId="5" state="visible" r:id="rId6"/>
    <sheet name="Cluster-006" sheetId="6" state="visible" r:id="rId7"/>
    <sheet name="Cluster-007" sheetId="7" state="visible" r:id="rId8"/>
    <sheet name="Cluster-008" sheetId="8" state="visible" r:id="rId9"/>
    <sheet name="Cluster-009" sheetId="9" state="visible" r:id="rId10"/>
    <sheet name="Cluster-010" sheetId="10" state="visible" r:id="rId11"/>
    <sheet name="Cluster-011" sheetId="11" state="visible" r:id="rId12"/>
    <sheet name="Cluster-012" sheetId="12" state="visible" r:id="rId13"/>
    <sheet name="Cluster-013" sheetId="13" state="visible" r:id="rId14"/>
    <sheet name="Cluster-014" sheetId="14" state="visible" r:id="rId15"/>
    <sheet name="Cluster-015" sheetId="15" state="visible" r:id="rId16"/>
  </sheets>
  <calcPr iterateCount="100" refMode="A1" iterate="false" iterateDelta="0.001"/>
</workbook>
</file>

<file path=xl/sharedStrings.xml><?xml version="1.0" encoding="utf-8"?>
<sst xmlns="http://schemas.openxmlformats.org/spreadsheetml/2006/main" count="16707" uniqueCount="2699">
  <si>
    <t>Centroid</t>
  </si>
  <si>
    <t>Chain1</t>
  </si>
  <si>
    <t>Res</t>
  </si>
  <si>
    <t>Chain2</t>
  </si>
  <si>
    <t>Pair2</t>
  </si>
  <si>
    <t>RMSD</t>
  </si>
  <si>
    <t>Distance</t>
  </si>
  <si>
    <t>Angle</t>
  </si>
  <si>
    <t>1QOY_2_4</t>
  </si>
  <si>
    <t>A</t>
  </si>
  <si>
    <t>3DHZ_8_4</t>
  </si>
  <si>
    <t>3BQY_2_1</t>
  </si>
  <si>
    <t>2QZC_13_10</t>
  </si>
  <si>
    <t>B</t>
  </si>
  <si>
    <t>1WZD_6_3</t>
  </si>
  <si>
    <t>1GS9_2_3</t>
  </si>
  <si>
    <t>1LKO_2_0</t>
  </si>
  <si>
    <t>2Q52_2_5</t>
  </si>
  <si>
    <t>2D5B_12_9</t>
  </si>
  <si>
    <t>1U5P_1_0</t>
  </si>
  <si>
    <t>1LKI_0_2</t>
  </si>
  <si>
    <t>1F1M_0_3</t>
  </si>
  <si>
    <t>1GKM_7_5</t>
  </si>
  <si>
    <t>1AE9_16_17</t>
  </si>
  <si>
    <t>D</t>
  </si>
  <si>
    <t>1CPQ_0_1</t>
  </si>
  <si>
    <t>1YMT_5_4</t>
  </si>
  <si>
    <t>2V2P_2_3</t>
  </si>
  <si>
    <t>1ALU_0_4</t>
  </si>
  <si>
    <t>1W27_7_5</t>
  </si>
  <si>
    <t>1WUI_5_12</t>
  </si>
  <si>
    <t>2WB9_2_3</t>
  </si>
  <si>
    <t>1TQG_0_3</t>
  </si>
  <si>
    <t>1IO1_2_0</t>
  </si>
  <si>
    <t>1NIG_1_3</t>
  </si>
  <si>
    <t>2O02_5_6</t>
  </si>
  <si>
    <t>1HF8_5_4</t>
  </si>
  <si>
    <t>1EER_1_2</t>
  </si>
  <si>
    <t>2ZQM_1_0</t>
  </si>
  <si>
    <t>1JNR_11_10</t>
  </si>
  <si>
    <t>1K7W_37_38</t>
  </si>
  <si>
    <t>2E2R_3_4</t>
  </si>
  <si>
    <t>1U7L_0_4</t>
  </si>
  <si>
    <t>2QUP_3_2</t>
  </si>
  <si>
    <t>2FEF_1_2</t>
  </si>
  <si>
    <t>1U5P_2_1</t>
  </si>
  <si>
    <t>1MN8_3_2</t>
  </si>
  <si>
    <t>2JDI_57_58</t>
  </si>
  <si>
    <t>G</t>
  </si>
  <si>
    <t>2QUP_0_1</t>
  </si>
  <si>
    <t>2RKL_1_3</t>
  </si>
  <si>
    <t>2CJ4_1_0</t>
  </si>
  <si>
    <t>1YAR_211_212</t>
  </si>
  <si>
    <t>m</t>
  </si>
  <si>
    <t>1YAR_93_94</t>
  </si>
  <si>
    <t>R</t>
  </si>
  <si>
    <t>1HZ4_29_30</t>
  </si>
  <si>
    <t>2OV9_3_0</t>
  </si>
  <si>
    <t>1EER_2_0</t>
  </si>
  <si>
    <t>1SYY_9_15</t>
  </si>
  <si>
    <t>1PBW_0_1</t>
  </si>
  <si>
    <t>1WUR_45_0</t>
  </si>
  <si>
    <t>J</t>
  </si>
  <si>
    <t>2OC5_4_3</t>
  </si>
  <si>
    <t>1BGF_3_4</t>
  </si>
  <si>
    <t>1M5I_0_1</t>
  </si>
  <si>
    <t>256B_6_5</t>
  </si>
  <si>
    <t>1FPO_4_5</t>
  </si>
  <si>
    <t>2UXW_10_9</t>
  </si>
  <si>
    <t>1JEK_5_4</t>
  </si>
  <si>
    <t>F</t>
  </si>
  <si>
    <t>E</t>
  </si>
  <si>
    <t>1U8V_18_15</t>
  </si>
  <si>
    <t>2QQY_0_2</t>
  </si>
  <si>
    <t>1HUW_5_6</t>
  </si>
  <si>
    <t>2O36_8_14</t>
  </si>
  <si>
    <t>2GYQ_0_1</t>
  </si>
  <si>
    <t>1R7J_2_5</t>
  </si>
  <si>
    <t>1QAZ_3_2</t>
  </si>
  <si>
    <t>2P0N_2_3</t>
  </si>
  <si>
    <t>1EZ3_1_2</t>
  </si>
  <si>
    <t>1BGC_0_2</t>
  </si>
  <si>
    <t>1K04_6_7</t>
  </si>
  <si>
    <t>2A0B_0_1</t>
  </si>
  <si>
    <t>1H7C_0_3</t>
  </si>
  <si>
    <t>1ALU_5_7</t>
  </si>
  <si>
    <t>1NTY_0_1</t>
  </si>
  <si>
    <t>1K7W_14_15</t>
  </si>
  <si>
    <t>1LKI_2_1</t>
  </si>
  <si>
    <t>1XLY_2_3</t>
  </si>
  <si>
    <t>2O02_12_11</t>
  </si>
  <si>
    <t>3CKC_2_3</t>
  </si>
  <si>
    <t>2FUP_2_0</t>
  </si>
  <si>
    <t>1FNN_12_9</t>
  </si>
  <si>
    <t>1U5P_4_3</t>
  </si>
  <si>
    <t>1TA8_0_1</t>
  </si>
  <si>
    <t>1MXR_4_1</t>
  </si>
  <si>
    <t>2NNU_1_0</t>
  </si>
  <si>
    <t>1C3C_15_16</t>
  </si>
  <si>
    <t>1JM0_1_0</t>
  </si>
  <si>
    <t>1UW4_6_5</t>
  </si>
  <si>
    <t>1BGC_1_3</t>
  </si>
  <si>
    <t>1JM0_0_2</t>
  </si>
  <si>
    <t>2RLD_18_19</t>
  </si>
  <si>
    <t>1W07_11_12</t>
  </si>
  <si>
    <t>2IB0_0_1</t>
  </si>
  <si>
    <t>1C02_4_3</t>
  </si>
  <si>
    <t>2IA1_4_5</t>
  </si>
  <si>
    <t>1EZ3_1_0</t>
  </si>
  <si>
    <t>1YMT_6_3</t>
  </si>
  <si>
    <t>2SPC_1_0</t>
  </si>
  <si>
    <t>1SUM_4_3</t>
  </si>
  <si>
    <t>1HZ4_23_22</t>
  </si>
  <si>
    <t>2O36_5_7</t>
  </si>
  <si>
    <t>2GYQ_8_5</t>
  </si>
  <si>
    <t>1MTY_29_32</t>
  </si>
  <si>
    <t>2Z0A_0_1</t>
  </si>
  <si>
    <t>1C02_1_2</t>
  </si>
  <si>
    <t>5CSM_5_7</t>
  </si>
  <si>
    <t>3BVF_13_12</t>
  </si>
  <si>
    <t>C</t>
  </si>
  <si>
    <t>1OTK_8_10</t>
  </si>
  <si>
    <t>1W27_26_25</t>
  </si>
  <si>
    <t>2PTR_5_7</t>
  </si>
  <si>
    <t>1TQG_0_1</t>
  </si>
  <si>
    <t>2HSB_0_3</t>
  </si>
  <si>
    <t>1XWL_3_4</t>
  </si>
  <si>
    <t>1DOW_0_1</t>
  </si>
  <si>
    <t>2SQC_4_3</t>
  </si>
  <si>
    <t>1W07_20_19</t>
  </si>
  <si>
    <t>1RWH_2_3</t>
  </si>
  <si>
    <t>1PO5_6_4</t>
  </si>
  <si>
    <t>2AP3_2_1</t>
  </si>
  <si>
    <t>1NKD_2_0</t>
  </si>
  <si>
    <t>2END_1_0</t>
  </si>
  <si>
    <t>3C18_10_7</t>
  </si>
  <si>
    <t>2IB0_2_0</t>
  </si>
  <si>
    <t>1DF4_0_5</t>
  </si>
  <si>
    <t>1Q08_2_5</t>
  </si>
  <si>
    <t>1WER_1_9</t>
  </si>
  <si>
    <t>1NG6_0_1</t>
  </si>
  <si>
    <t>1HUW_2_0</t>
  </si>
  <si>
    <t>3BNY_7_6</t>
  </si>
  <si>
    <t>3BVX_6_7</t>
  </si>
  <si>
    <t>1WA5_38_39</t>
  </si>
  <si>
    <t>2GYQ_9_8</t>
  </si>
  <si>
    <t>1M5I_2_0</t>
  </si>
  <si>
    <t>2INC_19_16</t>
  </si>
  <si>
    <t>1V2Z_0_1</t>
  </si>
  <si>
    <t>2RCC_4_6</t>
  </si>
  <si>
    <t>1U7L_4_1</t>
  </si>
  <si>
    <t>1TQG_3_2</t>
  </si>
  <si>
    <t>3FX7_3_1</t>
  </si>
  <si>
    <t>1NZE_2_1</t>
  </si>
  <si>
    <t>1WUI_12_9</t>
  </si>
  <si>
    <t>1QOY_1_2</t>
  </si>
  <si>
    <t>3BPJ_5_2</t>
  </si>
  <si>
    <t>1YDI_4_3</t>
  </si>
  <si>
    <t>1CPQ_2_3</t>
  </si>
  <si>
    <t>3CSX_0_1</t>
  </si>
  <si>
    <t>1MXR_13_12</t>
  </si>
  <si>
    <t>1C3C_4_6</t>
  </si>
  <si>
    <t>3BQO_0_1</t>
  </si>
  <si>
    <t>1HH8_5_4</t>
  </si>
  <si>
    <t>1SUM_2_5</t>
  </si>
  <si>
    <t>2UXW_5_6</t>
  </si>
  <si>
    <t>3BT5_0_2</t>
  </si>
  <si>
    <t>1NG6_2_3</t>
  </si>
  <si>
    <t>2PTR_4_5</t>
  </si>
  <si>
    <t>1K3Y_9_10</t>
  </si>
  <si>
    <t>1SUM_0_1</t>
  </si>
  <si>
    <t>1NKD_3_1</t>
  </si>
  <si>
    <t>1Z0P_2_3</t>
  </si>
  <si>
    <t>1YDI_5_6</t>
  </si>
  <si>
    <t>1QQF_5_4</t>
  </si>
  <si>
    <t>1GNL_4_3</t>
  </si>
  <si>
    <t>2ILK_5_7</t>
  </si>
  <si>
    <t>3BT5_0_1</t>
  </si>
  <si>
    <t>2GYQ_6_9</t>
  </si>
  <si>
    <t>1XLY_4_3</t>
  </si>
  <si>
    <t>1KS8_11_0</t>
  </si>
  <si>
    <t>1CLC_10_0</t>
  </si>
  <si>
    <t>2SQC_19_18</t>
  </si>
  <si>
    <t>1G6U_1_3</t>
  </si>
  <si>
    <t>3B5M_1_2</t>
  </si>
  <si>
    <t>1U8V_39_42</t>
  </si>
  <si>
    <t>1C3C_19_20</t>
  </si>
  <si>
    <t>2QWO_9_10</t>
  </si>
  <si>
    <t>3FX7_3_2</t>
  </si>
  <si>
    <t>1LSH_1_2</t>
  </si>
  <si>
    <t>1F1M_6_5</t>
  </si>
  <si>
    <t>1XLY_6_7</t>
  </si>
  <si>
    <t>1BGC_1_2</t>
  </si>
  <si>
    <t>2AP3_3_2</t>
  </si>
  <si>
    <t>2UXW_5_4</t>
  </si>
  <si>
    <t>1H2V_20_21</t>
  </si>
  <si>
    <t>1HZ4_8_9</t>
  </si>
  <si>
    <t>1WOL_0_3</t>
  </si>
  <si>
    <t>1YDI_1_2</t>
  </si>
  <si>
    <t>1M48_3_0</t>
  </si>
  <si>
    <t>2SQC_15_14</t>
  </si>
  <si>
    <t>2J8W_2_3</t>
  </si>
  <si>
    <t>1CB8_2_3</t>
  </si>
  <si>
    <t>2O02_13_12</t>
  </si>
  <si>
    <t>3CKC_3_4</t>
  </si>
  <si>
    <t>1S9U_4_3</t>
  </si>
  <si>
    <t>1GNL_2_1</t>
  </si>
  <si>
    <t>2H8O_9_8</t>
  </si>
  <si>
    <t>1C02_6_9</t>
  </si>
  <si>
    <t>1O9R_21_20</t>
  </si>
  <si>
    <t>3BNY_12_10</t>
  </si>
  <si>
    <t>1MTY_38_37</t>
  </si>
  <si>
    <t>1H2V_19_20</t>
  </si>
  <si>
    <t>1NFV_39_38</t>
  </si>
  <si>
    <t>2O36_0_1</t>
  </si>
  <si>
    <t>2CJ4_0_3</t>
  </si>
  <si>
    <t>1WZD_2_1</t>
  </si>
  <si>
    <t>1XLY_5_6</t>
  </si>
  <si>
    <t>1PI1_2_1</t>
  </si>
  <si>
    <t>3DHZ_0_7</t>
  </si>
  <si>
    <t>2IZR_5_1</t>
  </si>
  <si>
    <t>2PTR_20_21</t>
  </si>
  <si>
    <t>1O9I_4_3</t>
  </si>
  <si>
    <t>1MTY_41_40</t>
  </si>
  <si>
    <t>2FB5_5_4</t>
  </si>
  <si>
    <t>1HZ4_7_8</t>
  </si>
  <si>
    <t>2SPC_1_5</t>
  </si>
  <si>
    <t>2RFQ_5_4</t>
  </si>
  <si>
    <t>3CI3_0_8</t>
  </si>
  <si>
    <t>2UXW_23_24</t>
  </si>
  <si>
    <t>3BT5_2_3</t>
  </si>
  <si>
    <t>2QQY_0_1</t>
  </si>
  <si>
    <t>2AP3_1_0</t>
  </si>
  <si>
    <t>1YAR_218_222</t>
  </si>
  <si>
    <t>n</t>
  </si>
  <si>
    <t>1YAR_100_104</t>
  </si>
  <si>
    <t>S</t>
  </si>
  <si>
    <t>1F5N_10_11</t>
  </si>
  <si>
    <t>1G8M_11_2</t>
  </si>
  <si>
    <t>1U8V_27_28</t>
  </si>
  <si>
    <t>1JIG_39_38</t>
  </si>
  <si>
    <t>1TX4_0_2</t>
  </si>
  <si>
    <t>1O9R_14_15</t>
  </si>
  <si>
    <t>2GMY_20_24</t>
  </si>
  <si>
    <t>1J77_2_1</t>
  </si>
  <si>
    <t>1SU8_4_1</t>
  </si>
  <si>
    <t>1DOW_5_6</t>
  </si>
  <si>
    <t>3BJD_15_17</t>
  </si>
  <si>
    <t>1J5W_2_3</t>
  </si>
  <si>
    <t>2RDC_5_6</t>
  </si>
  <si>
    <t>1IO1_1_0</t>
  </si>
  <si>
    <t>1VLS_2_3</t>
  </si>
  <si>
    <t>2E0A_8_7</t>
  </si>
  <si>
    <t>2C3N_3_4</t>
  </si>
  <si>
    <t>2IKB_7_6</t>
  </si>
  <si>
    <t>1IHG_2_3</t>
  </si>
  <si>
    <t>2GMY_6_7</t>
  </si>
  <si>
    <t>1WA5_22_23</t>
  </si>
  <si>
    <t>2FBA_0_11</t>
  </si>
  <si>
    <t>1HUW_7_4</t>
  </si>
  <si>
    <t>1K04_0_5</t>
  </si>
  <si>
    <t>1F1M_2_3</t>
  </si>
  <si>
    <t>1SU8_3_1</t>
  </si>
  <si>
    <t>1LFP_0_1</t>
  </si>
  <si>
    <t>1XVH_1_2</t>
  </si>
  <si>
    <t>1NZE_2_3</t>
  </si>
  <si>
    <t>1VDK_16_17</t>
  </si>
  <si>
    <t>1VLS_2_1</t>
  </si>
  <si>
    <t>1DOW_2_1</t>
  </si>
  <si>
    <t>1NZE_1_0</t>
  </si>
  <si>
    <t>1HZ4_4_3</t>
  </si>
  <si>
    <t>1U00_2_1</t>
  </si>
  <si>
    <t>1VDK_7_6</t>
  </si>
  <si>
    <t>1NFV_0_1</t>
  </si>
  <si>
    <t>1WUI_8_5</t>
  </si>
  <si>
    <t>3DHZ_15_17</t>
  </si>
  <si>
    <t>1GS9_1_0</t>
  </si>
  <si>
    <t>3KJD_2_3</t>
  </si>
  <si>
    <t>1T6U_18_19</t>
  </si>
  <si>
    <t>1W07_25_24</t>
  </si>
  <si>
    <t>2J8W_5_4</t>
  </si>
  <si>
    <t>1K7W_5_6</t>
  </si>
  <si>
    <t>1FP1_10_1</t>
  </si>
  <si>
    <t>1LSH_9_10</t>
  </si>
  <si>
    <t>1T6U_0_3</t>
  </si>
  <si>
    <t>1GU9_19_18</t>
  </si>
  <si>
    <t>2OYO_27_28</t>
  </si>
  <si>
    <t>1VKE_29_28</t>
  </si>
  <si>
    <t>1R0D_4_3</t>
  </si>
  <si>
    <t>2NNU_1_2</t>
  </si>
  <si>
    <t>3BGE_0_1</t>
  </si>
  <si>
    <t>1OTK_2_3</t>
  </si>
  <si>
    <t>2Q0T_3_2</t>
  </si>
  <si>
    <t>1U00_1_0</t>
  </si>
  <si>
    <t>2FBA_1_2</t>
  </si>
  <si>
    <t>1N7O_2_3</t>
  </si>
  <si>
    <t>2PMR_1_0</t>
  </si>
  <si>
    <t>1HN0_2_3</t>
  </si>
  <si>
    <t>1YLM_0_3</t>
  </si>
  <si>
    <t>1H3N_12_13</t>
  </si>
  <si>
    <t>1SX7_3_2</t>
  </si>
  <si>
    <t>1J2J_3_4</t>
  </si>
  <si>
    <t>1AH7_2_3</t>
  </si>
  <si>
    <t>2V2P_0_1</t>
  </si>
  <si>
    <t>3C18_7_8</t>
  </si>
  <si>
    <t>1ELW_3_2</t>
  </si>
  <si>
    <t>1LKO_0_1</t>
  </si>
  <si>
    <t>3BVF_15_16</t>
  </si>
  <si>
    <t>2O02_4_5</t>
  </si>
  <si>
    <t>2PMR_1_2</t>
  </si>
  <si>
    <t>1KS8_3_4</t>
  </si>
  <si>
    <t>3KPE_1_0</t>
  </si>
  <si>
    <t>2PTR_22_21</t>
  </si>
  <si>
    <t>1NIG_0_2</t>
  </si>
  <si>
    <t>1SVF_5_4</t>
  </si>
  <si>
    <t>1HH8_6_5</t>
  </si>
  <si>
    <t>1HZ4_24_23</t>
  </si>
  <si>
    <t>2RLD_10_9</t>
  </si>
  <si>
    <t>1ELW_1_0</t>
  </si>
  <si>
    <t>2INC_1_2</t>
  </si>
  <si>
    <t>1VLS_0_1</t>
  </si>
  <si>
    <t>2IJQ_2_3</t>
  </si>
  <si>
    <t>2INC_16_15</t>
  </si>
  <si>
    <t>1CLC_3_4</t>
  </si>
  <si>
    <t>3CKC_6_5</t>
  </si>
  <si>
    <t>1C02_2_3</t>
  </si>
  <si>
    <t>1IHG_1_2</t>
  </si>
  <si>
    <t>2FBA_5_6</t>
  </si>
  <si>
    <t>1XNF_16_15</t>
  </si>
  <si>
    <t>1MTY_2_3</t>
  </si>
  <si>
    <t>2H8O_3_4</t>
  </si>
  <si>
    <t>2IB0_6_7</t>
  </si>
  <si>
    <t>2GZ6_16_15</t>
  </si>
  <si>
    <t>2FBA_8_10</t>
  </si>
  <si>
    <t>3CI3_14_13</t>
  </si>
  <si>
    <t>1HZ4_19_20</t>
  </si>
  <si>
    <t>2GZ6_0_11</t>
  </si>
  <si>
    <t>1LKO_2_3</t>
  </si>
  <si>
    <t>1MTY_28_29</t>
  </si>
  <si>
    <t>1T6U_16_17</t>
  </si>
  <si>
    <t>1TQG_2_1</t>
  </si>
  <si>
    <t>1IHG_5_6</t>
  </si>
  <si>
    <t>2RKL_3_2</t>
  </si>
  <si>
    <t>1HZ4_30_31</t>
  </si>
  <si>
    <t>2CJ4_3_2</t>
  </si>
  <si>
    <t>1IHG_3_4</t>
  </si>
  <si>
    <t>2INC_6_7</t>
  </si>
  <si>
    <t>1VDK_10_9</t>
  </si>
  <si>
    <t>1O9G_3_4</t>
  </si>
  <si>
    <t>1T6S_7_3</t>
  </si>
  <si>
    <t>1ELW_4_5</t>
  </si>
  <si>
    <t>2AHF_9_10</t>
  </si>
  <si>
    <t>1JIG_8_9</t>
  </si>
  <si>
    <t>2QIS_4_3</t>
  </si>
  <si>
    <t>1HZ4_21_22</t>
  </si>
  <si>
    <t>2O02_10_9</t>
  </si>
  <si>
    <t>1MXR_2_1</t>
  </si>
  <si>
    <t>1NZN_3_4</t>
  </si>
  <si>
    <t>3DHZ_1_2</t>
  </si>
  <si>
    <t>1KS8_9_10</t>
  </si>
  <si>
    <t>1VDK_12_13</t>
  </si>
  <si>
    <t>1CB8_6_7</t>
  </si>
  <si>
    <t>1GKM_7_8</t>
  </si>
  <si>
    <t>1NIG_2_3</t>
  </si>
  <si>
    <t>3B5O_1_2</t>
  </si>
  <si>
    <t>2RFQ_13_14</t>
  </si>
  <si>
    <t>2IJQ_0_1</t>
  </si>
  <si>
    <t>3FAP_2_3</t>
  </si>
  <si>
    <t>2O02_15_16</t>
  </si>
  <si>
    <t>2FEF_21_20</t>
  </si>
  <si>
    <t>1SYY_11_10</t>
  </si>
  <si>
    <t>2BEQ_3_1</t>
  </si>
  <si>
    <t>2E5Y_3_2</t>
  </si>
  <si>
    <t>1N97_5_6</t>
  </si>
  <si>
    <t>1NKD_0_1</t>
  </si>
  <si>
    <t>1H12_3_4</t>
  </si>
  <si>
    <t>1WPB_5_6</t>
  </si>
  <si>
    <t>2D48_2_1</t>
  </si>
  <si>
    <t>1GU2_0_2</t>
  </si>
  <si>
    <t>3BVX_8_7</t>
  </si>
  <si>
    <t>1KWF_10_9</t>
  </si>
  <si>
    <t>2GZ6_7_8</t>
  </si>
  <si>
    <t>1GXM_2_3</t>
  </si>
  <si>
    <t>2NR4_3_4</t>
  </si>
  <si>
    <t>1H3N_11_12</t>
  </si>
  <si>
    <t>1NIG_0_1</t>
  </si>
  <si>
    <t>3KJD_2_4</t>
  </si>
  <si>
    <t>1YDI_6_3</t>
  </si>
  <si>
    <t>1T6U_18_17</t>
  </si>
  <si>
    <t>1X9D_3_4</t>
  </si>
  <si>
    <t>2AHF_1_2</t>
  </si>
  <si>
    <t>1H4R_2_4</t>
  </si>
  <si>
    <t>1GXM_0_1</t>
  </si>
  <si>
    <t>1KS8_5_6</t>
  </si>
  <si>
    <t>1CLC_5_6</t>
  </si>
  <si>
    <t>3FP5_1_3</t>
  </si>
  <si>
    <t>1G9G_11_0</t>
  </si>
  <si>
    <t>1G9G_8_9</t>
  </si>
  <si>
    <t>2GZ6_9_10</t>
  </si>
  <si>
    <t>2OH3_0_1</t>
  </si>
  <si>
    <t>1NC5_1_2</t>
  </si>
  <si>
    <t>2AHF_7_8</t>
  </si>
  <si>
    <t>1Q52_23_24</t>
  </si>
  <si>
    <t>1QAZ_0_1</t>
  </si>
  <si>
    <t>2VO4_2_3</t>
  </si>
  <si>
    <t>3CJW_4_5</t>
  </si>
  <si>
    <t>1N7O_10_11</t>
  </si>
  <si>
    <t>1X9D_11_12</t>
  </si>
  <si>
    <t>1AK0_2_3</t>
  </si>
  <si>
    <t>1XNF_9_10</t>
  </si>
  <si>
    <t>1RRM_3_4</t>
  </si>
  <si>
    <t>1P7T_12_9</t>
  </si>
  <si>
    <t>2Q52_1_2</t>
  </si>
  <si>
    <t>3H9C_12_9</t>
  </si>
  <si>
    <t>2IJ2_5_4</t>
  </si>
  <si>
    <t>1E8Y_7_8</t>
  </si>
  <si>
    <t>1PPR_1_8</t>
  </si>
  <si>
    <t>1MIX_1_3</t>
  </si>
  <si>
    <t>1GKM_9_10</t>
  </si>
  <si>
    <t>1PPR_7_2</t>
  </si>
  <si>
    <t>2IKB_7_3</t>
  </si>
  <si>
    <t>1DVO_4_0</t>
  </si>
  <si>
    <t>2O02_7_8</t>
  </si>
  <si>
    <t>3I2K_3_2</t>
  </si>
  <si>
    <t>1QSA_4_5</t>
  </si>
  <si>
    <t>3H0N_2_3</t>
  </si>
  <si>
    <t>1WA5_34_35</t>
  </si>
  <si>
    <t>1NZN_3_2</t>
  </si>
  <si>
    <t>256B_0_1</t>
  </si>
  <si>
    <t>1OXJ_2_3</t>
  </si>
  <si>
    <t>2RKL_0_2</t>
  </si>
  <si>
    <t>1K8K_27_26</t>
  </si>
  <si>
    <t>3BQO_0_6</t>
  </si>
  <si>
    <t>1HZ4_19_18</t>
  </si>
  <si>
    <t>2D48_0_2</t>
  </si>
  <si>
    <t>1YLM_5_4</t>
  </si>
  <si>
    <t>1HUW_7_5</t>
  </si>
  <si>
    <t>2OEB_1_4</t>
  </si>
  <si>
    <t>1QOY_5_1</t>
  </si>
  <si>
    <t>1NC5_7_8</t>
  </si>
  <si>
    <t>1BGC_0_3</t>
  </si>
  <si>
    <t>2D48_0_3</t>
  </si>
  <si>
    <t>1NZN_1_2</t>
  </si>
  <si>
    <t>1P7T_14_13</t>
  </si>
  <si>
    <t>1M48_2_0</t>
  </si>
  <si>
    <t>2H6F_12_13</t>
  </si>
  <si>
    <t>1YAR_94_95</t>
  </si>
  <si>
    <t>1TBF_11_10</t>
  </si>
  <si>
    <t>2SQC_13_12</t>
  </si>
  <si>
    <t>2RKH_3_4</t>
  </si>
  <si>
    <t>1W07_26_27</t>
  </si>
  <si>
    <t>3CKC_4_5</t>
  </si>
  <si>
    <t>2HHP_6_7</t>
  </si>
  <si>
    <t>1WUI_9_8</t>
  </si>
  <si>
    <t>2E0A_2_3</t>
  </si>
  <si>
    <t>1N1F_1_2</t>
  </si>
  <si>
    <t>1K92_8_9</t>
  </si>
  <si>
    <t>2OH3_2_3</t>
  </si>
  <si>
    <t>2SQC_7_5</t>
  </si>
  <si>
    <t>1K7W_6_7</t>
  </si>
  <si>
    <t>1QHD_0_2</t>
  </si>
  <si>
    <t>3ELK_3_7</t>
  </si>
  <si>
    <t>1HH8_6_7</t>
  </si>
  <si>
    <t>1W27_23_24</t>
  </si>
  <si>
    <t>3BYV_3_6</t>
  </si>
  <si>
    <t>1W07_6_8</t>
  </si>
  <si>
    <t>3CKC_6_8</t>
  </si>
  <si>
    <t>3F61_1_4</t>
  </si>
  <si>
    <t>2QOL_1_4</t>
  </si>
  <si>
    <t>1K7W_21_14</t>
  </si>
  <si>
    <t>3L5X_0_2</t>
  </si>
  <si>
    <t>1BSM_5_4</t>
  </si>
  <si>
    <t>2UXW_25_11</t>
  </si>
  <si>
    <t>1WA5_26_27</t>
  </si>
  <si>
    <t>1G6U_0_1</t>
  </si>
  <si>
    <t>1ALU_1_2</t>
  </si>
  <si>
    <t>1DK8_1_4</t>
  </si>
  <si>
    <t>1NTY_3_4</t>
  </si>
  <si>
    <t>1DF4_3_2</t>
  </si>
  <si>
    <t>1GS9_0_3</t>
  </si>
  <si>
    <t>3BVF_12_10</t>
  </si>
  <si>
    <t>2V2P_2_0</t>
  </si>
  <si>
    <t>1JIG_18_16</t>
  </si>
  <si>
    <t>1YDI_4_5</t>
  </si>
  <si>
    <t>1FCY_6_3</t>
  </si>
  <si>
    <t>2C0G_4_5</t>
  </si>
  <si>
    <t>1F1M_1_0</t>
  </si>
  <si>
    <t>3CI3_11_10</t>
  </si>
  <si>
    <t>1OJ7_13_14</t>
  </si>
  <si>
    <t>2E0A_11_7</t>
  </si>
  <si>
    <t>1QOY_0_1</t>
  </si>
  <si>
    <t>2C0G_3_2</t>
  </si>
  <si>
    <t>1NC5_9_10</t>
  </si>
  <si>
    <t>2R7G_4_3</t>
  </si>
  <si>
    <t>1GXM_4_5</t>
  </si>
  <si>
    <t>2GRR_3_4</t>
  </si>
  <si>
    <t>1QQF_1_0</t>
  </si>
  <si>
    <t>2D5B_12_11</t>
  </si>
  <si>
    <t>1MTY_12_14</t>
  </si>
  <si>
    <t>1SYY_13_15</t>
  </si>
  <si>
    <t>2OOC_0_1</t>
  </si>
  <si>
    <t>1WA5_50_51</t>
  </si>
  <si>
    <t>2SQC_0_20</t>
  </si>
  <si>
    <t>1HF8_5_6</t>
  </si>
  <si>
    <t>1OWL_4_5</t>
  </si>
  <si>
    <t>1H7C_3_4</t>
  </si>
  <si>
    <t>3HLX_2_1</t>
  </si>
  <si>
    <t>1K04_0_7</t>
  </si>
  <si>
    <t>1KS8_2_1</t>
  </si>
  <si>
    <t>1GNL_1_0</t>
  </si>
  <si>
    <t>2Q52_0_1</t>
  </si>
  <si>
    <t>2Q9R_1_0</t>
  </si>
  <si>
    <t>2QIS_10_8</t>
  </si>
  <si>
    <t>1W07_4_7</t>
  </si>
  <si>
    <t>1WA5_30_31</t>
  </si>
  <si>
    <t>1D9C_7_6</t>
  </si>
  <si>
    <t>1O9R_16_18</t>
  </si>
  <si>
    <t>1CLC_1_2</t>
  </si>
  <si>
    <t>2UXW_20_19</t>
  </si>
  <si>
    <t>2OV9_1_4</t>
  </si>
  <si>
    <t>2H6F_25_24</t>
  </si>
  <si>
    <t>1GNL_5_4</t>
  </si>
  <si>
    <t>1G9G_3_4</t>
  </si>
  <si>
    <t>2FBA_10_11</t>
  </si>
  <si>
    <t>1RWH_10_11</t>
  </si>
  <si>
    <t>2RFQ_14_15</t>
  </si>
  <si>
    <t>3F6O_6_3</t>
  </si>
  <si>
    <t>1DOW_3_4</t>
  </si>
  <si>
    <t>1QKR_0_1</t>
  </si>
  <si>
    <t>1KWF_3_4</t>
  </si>
  <si>
    <t>2GZ6_1_2</t>
  </si>
  <si>
    <t>2QLU_1_5</t>
  </si>
  <si>
    <t>1NC5_11_0</t>
  </si>
  <si>
    <t>3CI3_8_5</t>
  </si>
  <si>
    <t>2P54_5_6</t>
  </si>
  <si>
    <t>1W53_3_2</t>
  </si>
  <si>
    <t>2QGM_4_3</t>
  </si>
  <si>
    <t>2OYO_16_11</t>
  </si>
  <si>
    <t>2Q0T_15_1</t>
  </si>
  <si>
    <t>1LKI_3_0</t>
  </si>
  <si>
    <t>1N5U_8_9</t>
  </si>
  <si>
    <t>1FCY_4_5</t>
  </si>
  <si>
    <t>1K0M_3_2</t>
  </si>
  <si>
    <t>3BJD_15_16</t>
  </si>
  <si>
    <t>1IE9_4_5</t>
  </si>
  <si>
    <t>2EBO_5_0</t>
  </si>
  <si>
    <t>1NQ7_4_5</t>
  </si>
  <si>
    <t>1T7R_3_4</t>
  </si>
  <si>
    <t>1SU8_5_4</t>
  </si>
  <si>
    <t>2J8W_6_5</t>
  </si>
  <si>
    <t>1T5O_7_10</t>
  </si>
  <si>
    <t>1GS9_2_1</t>
  </si>
  <si>
    <t>2NR5_6_7</t>
  </si>
  <si>
    <t>1U8V_16_15</t>
  </si>
  <si>
    <t>1SUM_0_3</t>
  </si>
  <si>
    <t>1OIS_1_0</t>
  </si>
  <si>
    <t>2E2R_8_11</t>
  </si>
  <si>
    <t>1IE9_6_3</t>
  </si>
  <si>
    <t>1R0D_1_5</t>
  </si>
  <si>
    <t>2I6H_5_4</t>
  </si>
  <si>
    <t>2IJQ_4_3</t>
  </si>
  <si>
    <t>2I2O_13_14</t>
  </si>
  <si>
    <t>2IKB_2_6</t>
  </si>
  <si>
    <t>1IHG_6_7</t>
  </si>
  <si>
    <t>2H6F_3_4</t>
  </si>
  <si>
    <t>1YAR_103_104</t>
  </si>
  <si>
    <t>1ELW_1_2</t>
  </si>
  <si>
    <t>3L5X_1_0</t>
  </si>
  <si>
    <t>1QKR_1_2</t>
  </si>
  <si>
    <t>1NA3_1_2</t>
  </si>
  <si>
    <t>1HH8_2_3</t>
  </si>
  <si>
    <t>1WA5_36_37</t>
  </si>
  <si>
    <t>1IOM_1_5</t>
  </si>
  <si>
    <t>3H9C_12_11</t>
  </si>
  <si>
    <t>2BT2_5_2</t>
  </si>
  <si>
    <t>2H6F_7_8</t>
  </si>
  <si>
    <t>1NA3_3_4</t>
  </si>
  <si>
    <t>2PV7_4_11</t>
  </si>
  <si>
    <t>1XNF_14_15</t>
  </si>
  <si>
    <t>2FEF_19_18</t>
  </si>
  <si>
    <t>1YAR_115_117</t>
  </si>
  <si>
    <t>U</t>
  </si>
  <si>
    <t>1XNF_16_17</t>
  </si>
  <si>
    <t>1HXI_0_1</t>
  </si>
  <si>
    <t>1IOM_8_3</t>
  </si>
  <si>
    <t>1W07_22_21</t>
  </si>
  <si>
    <t>1VKE_1_27</t>
  </si>
  <si>
    <t>1KWF_0_11</t>
  </si>
  <si>
    <t>1H99_7_5</t>
  </si>
  <si>
    <t>1MR8_3_0</t>
  </si>
  <si>
    <t>1IOM_1_13</t>
  </si>
  <si>
    <t>2IZX_3_1</t>
  </si>
  <si>
    <t>1QV1_2_4</t>
  </si>
  <si>
    <t>1RXQ_6_10</t>
  </si>
  <si>
    <t>1GKM_9_8</t>
  </si>
  <si>
    <t>1PPR_16_13</t>
  </si>
  <si>
    <t>1PPR_7_10</t>
  </si>
  <si>
    <t>2PVQ_8_9</t>
  </si>
  <si>
    <t>1PPR_15_14</t>
  </si>
  <si>
    <t>1CSH_2_6</t>
  </si>
  <si>
    <t>1PPR_33_32</t>
  </si>
  <si>
    <t>1HF8_4_3</t>
  </si>
  <si>
    <t>3BJD_21_18</t>
  </si>
  <si>
    <t>2IJQ_2_1</t>
  </si>
  <si>
    <t>2RLD_0_1</t>
  </si>
  <si>
    <t>1B25_7_2</t>
  </si>
  <si>
    <t>1KWF_1_2</t>
  </si>
  <si>
    <t>2IZR_4_2</t>
  </si>
  <si>
    <t>1FS1_1_2</t>
  </si>
  <si>
    <t>1H12_1_2</t>
  </si>
  <si>
    <t>1H2V_3_4</t>
  </si>
  <si>
    <t>1QSA_0_1</t>
  </si>
  <si>
    <t>1I36_7_6</t>
  </si>
  <si>
    <t>2FUP_0_1</t>
  </si>
  <si>
    <t>1G9G_1_2</t>
  </si>
  <si>
    <t>1QQF_7_8</t>
  </si>
  <si>
    <t>2RLD_3_0</t>
  </si>
  <si>
    <t>2O57_14_13</t>
  </si>
  <si>
    <t>1N7O_6_7</t>
  </si>
  <si>
    <t>2H6F_1_2</t>
  </si>
  <si>
    <t>3H0N_1_2</t>
  </si>
  <si>
    <t>1HZ4_11_12</t>
  </si>
  <si>
    <t>1ELW_5_6</t>
  </si>
  <si>
    <t>1RWH_6_7</t>
  </si>
  <si>
    <t>2OOC_2_1</t>
  </si>
  <si>
    <t>3FAP_0_1</t>
  </si>
  <si>
    <t>1GKM_3_2</t>
  </si>
  <si>
    <t>1NZN_4_5</t>
  </si>
  <si>
    <t>2H6F_5_6</t>
  </si>
  <si>
    <t>1IHG_5_4</t>
  </si>
  <si>
    <t>2QZC_6_1</t>
  </si>
  <si>
    <t>1NQ7_6_3</t>
  </si>
  <si>
    <t>2AHF_5_6</t>
  </si>
  <si>
    <t>1O9I_28_26</t>
  </si>
  <si>
    <t>1QSA_14_15</t>
  </si>
  <si>
    <t>1Q08_4_5</t>
  </si>
  <si>
    <t>1N1F_0_2</t>
  </si>
  <si>
    <t>1KS8_4_5</t>
  </si>
  <si>
    <t>2VLQ_0_1</t>
  </si>
  <si>
    <t>3BJD_16_5</t>
  </si>
  <si>
    <t>2RCC_1_0</t>
  </si>
  <si>
    <t>1SSQ_40_41</t>
  </si>
  <si>
    <t>1QQF_3_2</t>
  </si>
  <si>
    <t>1H12_6_7</t>
  </si>
  <si>
    <t>1D2T_23_19</t>
  </si>
  <si>
    <t>2CXN_16_15</t>
  </si>
  <si>
    <t>1SYY_16_12</t>
  </si>
  <si>
    <t>2H6F_16_17</t>
  </si>
  <si>
    <t>2E0A_2_1</t>
  </si>
  <si>
    <t>1KP8_9_10</t>
  </si>
  <si>
    <t>1YAR_224_229</t>
  </si>
  <si>
    <t>o</t>
  </si>
  <si>
    <t>1YAR_106_111</t>
  </si>
  <si>
    <t>T</t>
  </si>
  <si>
    <t>1CPQ_2_1</t>
  </si>
  <si>
    <t>3DWY_1_2</t>
  </si>
  <si>
    <t>1MXR_11_12</t>
  </si>
  <si>
    <t>1LSH_12_13</t>
  </si>
  <si>
    <t>1ELK_1_2</t>
  </si>
  <si>
    <t>2OC5_0_1</t>
  </si>
  <si>
    <t>1RWH_5_4</t>
  </si>
  <si>
    <t>5CSM_5_0</t>
  </si>
  <si>
    <t>1O9I_28_3</t>
  </si>
  <si>
    <t>2WY4_2_0</t>
  </si>
  <si>
    <t>1J09_14_11</t>
  </si>
  <si>
    <t>3CKC_0_2</t>
  </si>
  <si>
    <t>3CEX_3_1</t>
  </si>
  <si>
    <t>1YDI_0_3</t>
  </si>
  <si>
    <t>2Q9R_0_3</t>
  </si>
  <si>
    <t>1T7R_5_2</t>
  </si>
  <si>
    <t>2BT2_2_3</t>
  </si>
  <si>
    <t>2RFQ_27_29</t>
  </si>
  <si>
    <t>1TU9_2_0</t>
  </si>
  <si>
    <t>2RCC_3_4</t>
  </si>
  <si>
    <t>2ZHJ_8_9</t>
  </si>
  <si>
    <t>1LSH_7_8</t>
  </si>
  <si>
    <t>2EU9_4_2</t>
  </si>
  <si>
    <t>1O9I_12_10</t>
  </si>
  <si>
    <t>1CSH_15_2</t>
  </si>
  <si>
    <t>1SG6_7_8</t>
  </si>
  <si>
    <t>2Q9R_3_4</t>
  </si>
  <si>
    <t>2SQC_2_1</t>
  </si>
  <si>
    <t>1YDI_0_7</t>
  </si>
  <si>
    <t>3HJE_7_11</t>
  </si>
  <si>
    <t>1MTY_14_13</t>
  </si>
  <si>
    <t>3HLX_11_9</t>
  </si>
  <si>
    <t>1Y9I_4_3</t>
  </si>
  <si>
    <t>2RBD_15_12</t>
  </si>
  <si>
    <t>1J5W_4_3</t>
  </si>
  <si>
    <t>2P0N_0_3</t>
  </si>
  <si>
    <t>1G8M_1_2</t>
  </si>
  <si>
    <t>1WA5_19_20</t>
  </si>
  <si>
    <t>1X9D_9_10</t>
  </si>
  <si>
    <t>2RBD_14_12</t>
  </si>
  <si>
    <t>1RWH_6_5</t>
  </si>
  <si>
    <t>1QAZ_7_6</t>
  </si>
  <si>
    <t>1X9D_7_8</t>
  </si>
  <si>
    <t>1KWF_7_8</t>
  </si>
  <si>
    <t>1NZN_0_1</t>
  </si>
  <si>
    <t>1XNF_14_13</t>
  </si>
  <si>
    <t>2H6F_9_10</t>
  </si>
  <si>
    <t>2RBD_0_1</t>
  </si>
  <si>
    <t>1HZ4_15_16</t>
  </si>
  <si>
    <t>1CSH_19_6</t>
  </si>
  <si>
    <t>2E0A_5_6</t>
  </si>
  <si>
    <t>1R0D_5_2</t>
  </si>
  <si>
    <t>1YAR_89_97</t>
  </si>
  <si>
    <t>Q</t>
  </si>
  <si>
    <t>1UAL_5_1</t>
  </si>
  <si>
    <t>1DLJ_4_5</t>
  </si>
  <si>
    <t>1D3Y_6_5</t>
  </si>
  <si>
    <t>3BB0_0_6</t>
  </si>
  <si>
    <t>1SVS_3_2</t>
  </si>
  <si>
    <t>2UXW_8_6</t>
  </si>
  <si>
    <t>2SQC_11_10</t>
  </si>
  <si>
    <t>1E7L_2_8</t>
  </si>
  <si>
    <t>2YVE_13_12</t>
  </si>
  <si>
    <t>2INC_19_18</t>
  </si>
  <si>
    <t>2FUP_3_4</t>
  </si>
  <si>
    <t>1G8Q_2_0</t>
  </si>
  <si>
    <t>1WER_2_3</t>
  </si>
  <si>
    <t>3GG2_33_34</t>
  </si>
  <si>
    <t>1KS8_7_8</t>
  </si>
  <si>
    <t>1LSH_8_9</t>
  </si>
  <si>
    <t>2E0A_10_8</t>
  </si>
  <si>
    <t>2SQC_17_16</t>
  </si>
  <si>
    <t>2SQC_8_9</t>
  </si>
  <si>
    <t>1E8Y_5_6</t>
  </si>
  <si>
    <t>1EPW_3_4</t>
  </si>
  <si>
    <t>1H12_10_0</t>
  </si>
  <si>
    <t>2OEE_0_2</t>
  </si>
  <si>
    <t>1GO3_3_2</t>
  </si>
  <si>
    <t>2H6F_19_18</t>
  </si>
  <si>
    <t>2SQC_10_0</t>
  </si>
  <si>
    <t>2QLU_4_2</t>
  </si>
  <si>
    <t>2I2O_16_17</t>
  </si>
  <si>
    <t>1QSA_16_17</t>
  </si>
  <si>
    <t>3BQO_3_6</t>
  </si>
  <si>
    <t>1X9D_2_1</t>
  </si>
  <si>
    <t>2H6F_11_12</t>
  </si>
  <si>
    <t>2SQC_3_2</t>
  </si>
  <si>
    <t>2SQC_18_17</t>
  </si>
  <si>
    <t>3BJD_12_13</t>
  </si>
  <si>
    <t>1U8V_7_6</t>
  </si>
  <si>
    <t>2GNO_7_6</t>
  </si>
  <si>
    <t>3C18_10_9</t>
  </si>
  <si>
    <t>1H7C_2_1</t>
  </si>
  <si>
    <t>1HBN_22_21</t>
  </si>
  <si>
    <t>3C18_2_3</t>
  </si>
  <si>
    <t>1POC_1_2</t>
  </si>
  <si>
    <t>3DPJ_7_8</t>
  </si>
  <si>
    <t>1KS9_6_5</t>
  </si>
  <si>
    <t>1K8U_0_3</t>
  </si>
  <si>
    <t>1KWF_10_11</t>
  </si>
  <si>
    <t>2GRR_8_7</t>
  </si>
  <si>
    <t>2INC_1_15</t>
  </si>
  <si>
    <t>2I0K_2_3</t>
  </si>
  <si>
    <t>3CKC_8_9</t>
  </si>
  <si>
    <t>2DSJ_6_5</t>
  </si>
  <si>
    <t>1QHD_2_5</t>
  </si>
  <si>
    <t>1R0D_1_0</t>
  </si>
  <si>
    <t>2H8O_16_4</t>
  </si>
  <si>
    <t>1XSV_2_7</t>
  </si>
  <si>
    <t>1R0D_0_2</t>
  </si>
  <si>
    <t>1WVF_15_5</t>
  </si>
  <si>
    <t>2OOC_3_2</t>
  </si>
  <si>
    <t>2H8O_4_17</t>
  </si>
  <si>
    <t>1UW4_7_8</t>
  </si>
  <si>
    <t>2I2O_5_6</t>
  </si>
  <si>
    <t>1W27_3_2</t>
  </si>
  <si>
    <t>3H9C_3_4</t>
  </si>
  <si>
    <t>1Z72_3_2</t>
  </si>
  <si>
    <t>2CXN_4_23</t>
  </si>
  <si>
    <t>2D5B_4_3</t>
  </si>
  <si>
    <t>3BJD_4_15</t>
  </si>
  <si>
    <t>2RCC_14_11</t>
  </si>
  <si>
    <t>2RFQ_7_4</t>
  </si>
  <si>
    <t>3B5O_1_3</t>
  </si>
  <si>
    <t>1GKM_5_8</t>
  </si>
  <si>
    <t>1J77_0_5</t>
  </si>
  <si>
    <t>1A76_1_6</t>
  </si>
  <si>
    <t>1I6L_4_3</t>
  </si>
  <si>
    <t>2HKV_7_4</t>
  </si>
  <si>
    <t>1C3C_8_6</t>
  </si>
  <si>
    <t>3BVX_6_8</t>
  </si>
  <si>
    <t>1PI1_0_2</t>
  </si>
  <si>
    <t>3BQO_0_2</t>
  </si>
  <si>
    <t>1N7S_0_3</t>
  </si>
  <si>
    <t>1VLS_2_0</t>
  </si>
  <si>
    <t>2OUF_1_5</t>
  </si>
  <si>
    <t>1QKR_0_2</t>
  </si>
  <si>
    <t>1Y4M_0_2</t>
  </si>
  <si>
    <t>3EFG_0_2</t>
  </si>
  <si>
    <t>2EBO_2_0</t>
  </si>
  <si>
    <t>2SPC_5_0</t>
  </si>
  <si>
    <t>1W27_5_10</t>
  </si>
  <si>
    <t>1U5P_2_0</t>
  </si>
  <si>
    <t>2R5D_1_0</t>
  </si>
  <si>
    <t>1W27_26_24</t>
  </si>
  <si>
    <t>1W27_5_8</t>
  </si>
  <si>
    <t>2PTR_9_7</t>
  </si>
  <si>
    <t>2FBH_0_9</t>
  </si>
  <si>
    <t>1N7S_3_2</t>
  </si>
  <si>
    <t>1K3Y_4_2</t>
  </si>
  <si>
    <t>1RXQ_3_0</t>
  </si>
  <si>
    <t>1U5P_4_2</t>
  </si>
  <si>
    <t>1K7W_38_40</t>
  </si>
  <si>
    <t>1N7S_1_2</t>
  </si>
  <si>
    <t>1H3N_10_12</t>
  </si>
  <si>
    <t>1GKM_5_10</t>
  </si>
  <si>
    <t>1W07_21_19</t>
  </si>
  <si>
    <t>1WA5_13_14</t>
  </si>
  <si>
    <t>1QAZ_4_2</t>
  </si>
  <si>
    <t>1VLS_0_4</t>
  </si>
  <si>
    <t>1WZD_1_3</t>
  </si>
  <si>
    <t>1EZJ_8_2</t>
  </si>
  <si>
    <t>1AVY_2_0</t>
  </si>
  <si>
    <t>1DF4_4_2</t>
  </si>
  <si>
    <t>1JEK_4_2</t>
  </si>
  <si>
    <t>1WT6_0_2</t>
  </si>
  <si>
    <t>3C18_4_2</t>
  </si>
  <si>
    <t>1SVF_4_2</t>
  </si>
  <si>
    <t>1HF8_3_2</t>
  </si>
  <si>
    <t>3KPE_2_0</t>
  </si>
  <si>
    <t>1K7W_43_37</t>
  </si>
  <si>
    <t>1CS0_69_71</t>
  </si>
  <si>
    <t>1WPB_70_25</t>
  </si>
  <si>
    <t>O</t>
  </si>
  <si>
    <t>1EZ3_2_0</t>
  </si>
  <si>
    <t>2O1K_1_0</t>
  </si>
  <si>
    <t>1H2V_5_7</t>
  </si>
  <si>
    <t>1HZ4_11_13</t>
  </si>
  <si>
    <t>1HZ4_4_6</t>
  </si>
  <si>
    <t>2BEQ_0_1</t>
  </si>
  <si>
    <t>1HF8_6_4</t>
  </si>
  <si>
    <t>1XLY_9_5</t>
  </si>
  <si>
    <t>3BGE_4_2</t>
  </si>
  <si>
    <t>1HF8_2_5</t>
  </si>
  <si>
    <t>1JY2_1_0</t>
  </si>
  <si>
    <t>1N7S_1_0</t>
  </si>
  <si>
    <t>2Q0T_14_15</t>
  </si>
  <si>
    <t>2PMR_0_2</t>
  </si>
  <si>
    <t>1SUM_0_2</t>
  </si>
  <si>
    <t>1IC2_1_0</t>
  </si>
  <si>
    <t>1JY2_0_2</t>
  </si>
  <si>
    <t>1EYH_3_2</t>
  </si>
  <si>
    <t>1VDK_8_6</t>
  </si>
  <si>
    <t>1U7L_0_1</t>
  </si>
  <si>
    <t>2C4J_10_8</t>
  </si>
  <si>
    <t>2O02_13_15</t>
  </si>
  <si>
    <t>1MZ9_1_2</t>
  </si>
  <si>
    <t>1UIX_1_0</t>
  </si>
  <si>
    <t>1X9D_7_9</t>
  </si>
  <si>
    <t>1HZ4_10_8</t>
  </si>
  <si>
    <t>1JY2_5_4</t>
  </si>
  <si>
    <t>2PVQ_8_10</t>
  </si>
  <si>
    <t>1WA5_15_14</t>
  </si>
  <si>
    <t>1DLJ_3_5</t>
  </si>
  <si>
    <t>1H7C_4_0</t>
  </si>
  <si>
    <t>1HZ4_28_27</t>
  </si>
  <si>
    <t>2I1Q_3_4</t>
  </si>
  <si>
    <t>1GNL_5_3</t>
  </si>
  <si>
    <t>3B5M_3_5</t>
  </si>
  <si>
    <t>3A8G_0_4</t>
  </si>
  <si>
    <t>1EL6_0_2</t>
  </si>
  <si>
    <t>1IHG_1_3</t>
  </si>
  <si>
    <t>2QGU_2_4</t>
  </si>
  <si>
    <t>1U00_0_2</t>
  </si>
  <si>
    <t>2OU6_1_2</t>
  </si>
  <si>
    <t>1FNN_3_2</t>
  </si>
  <si>
    <t>2WB9_4_2</t>
  </si>
  <si>
    <t>1CLC_3_1</t>
  </si>
  <si>
    <t>1C3C_15_20</t>
  </si>
  <si>
    <t>2FUP_3_0</t>
  </si>
  <si>
    <t>1YDI_7_3</t>
  </si>
  <si>
    <t>2O02_6_8</t>
  </si>
  <si>
    <t>1HZ4_2_4</t>
  </si>
  <si>
    <t>1WA5_25_23</t>
  </si>
  <si>
    <t>2WB9_0_1</t>
  </si>
  <si>
    <t>3CKC_3_5</t>
  </si>
  <si>
    <t>2UXW_9_11</t>
  </si>
  <si>
    <t>1OXJ_1_0</t>
  </si>
  <si>
    <t>2GAU_3_0</t>
  </si>
  <si>
    <t>1N7O_6_4</t>
  </si>
  <si>
    <t>1YAR_80_83</t>
  </si>
  <si>
    <t>P</t>
  </si>
  <si>
    <t>1V2Z_7_3</t>
  </si>
  <si>
    <t>2FBA_1_11</t>
  </si>
  <si>
    <t>1SUM_3_5</t>
  </si>
  <si>
    <t>1GNL_0_2</t>
  </si>
  <si>
    <t>2GZ6_7_5</t>
  </si>
  <si>
    <t>1H12_10_1</t>
  </si>
  <si>
    <t>1G9G_1_11</t>
  </si>
  <si>
    <t>2FBA_3_1</t>
  </si>
  <si>
    <t>1WA5_21_23</t>
  </si>
  <si>
    <t>1JNR_11_9</t>
  </si>
  <si>
    <t>1QQF_6_4</t>
  </si>
  <si>
    <t>2GZ6_9_11</t>
  </si>
  <si>
    <t>2AHF_11_1</t>
  </si>
  <si>
    <t>1K7W_3_7</t>
  </si>
  <si>
    <t>1KBL_3_5</t>
  </si>
  <si>
    <t>2FBA_11_8</t>
  </si>
  <si>
    <t>1GKM_10_8</t>
  </si>
  <si>
    <t>1YDI_1_7</t>
  </si>
  <si>
    <t>1RWH_8_10</t>
  </si>
  <si>
    <t>1K3Y_7_8</t>
  </si>
  <si>
    <t>2C4J_6_7</t>
  </si>
  <si>
    <t>1VDK_3_8</t>
  </si>
  <si>
    <t>2G7S_1_4</t>
  </si>
  <si>
    <t>1M1N_20_24</t>
  </si>
  <si>
    <t>1WA5_18_20</t>
  </si>
  <si>
    <t>3GF3_6_5</t>
  </si>
  <si>
    <t>1VDK_12_15</t>
  </si>
  <si>
    <t>2CJ4_0_2</t>
  </si>
  <si>
    <t>1HW1_12_14</t>
  </si>
  <si>
    <t>1HH8_3_5</t>
  </si>
  <si>
    <t>2NR7_4_2</t>
  </si>
  <si>
    <t>1P7T_8_14</t>
  </si>
  <si>
    <t>1WA5_33_31</t>
  </si>
  <si>
    <t>2IKB_1_2</t>
  </si>
  <si>
    <t>1X9D_0_12</t>
  </si>
  <si>
    <t>2Q9R_1_3</t>
  </si>
  <si>
    <t>1IHG_5_7</t>
  </si>
  <si>
    <t>1HH8_3_1</t>
  </si>
  <si>
    <t>2IBD_7_9</t>
  </si>
  <si>
    <t>1ELW_0_2</t>
  </si>
  <si>
    <t>2PTR_17_22</t>
  </si>
  <si>
    <t>1C3C_11_4</t>
  </si>
  <si>
    <t>1WA5_29_27</t>
  </si>
  <si>
    <t>1TBF_3_1</t>
  </si>
  <si>
    <t>3CKC_3_0</t>
  </si>
  <si>
    <t>1IOM_8_10</t>
  </si>
  <si>
    <t>1ELW_2_4</t>
  </si>
  <si>
    <t>1D5T_4_0</t>
  </si>
  <si>
    <t>2AHF_4_2</t>
  </si>
  <si>
    <t>2H6F_19_20</t>
  </si>
  <si>
    <t>1KWF_11_1</t>
  </si>
  <si>
    <t>2UXW_19_17</t>
  </si>
  <si>
    <t>1RWH_6_8</t>
  </si>
  <si>
    <t>1L5O_5_3</t>
  </si>
  <si>
    <t>2QNL_4_5</t>
  </si>
  <si>
    <t>2H6F_21_23</t>
  </si>
  <si>
    <t>2GZ6_21_19</t>
  </si>
  <si>
    <t>3CI3_9_7</t>
  </si>
  <si>
    <t>2H6F_25_17</t>
  </si>
  <si>
    <t>1QQF_9_7</t>
  </si>
  <si>
    <t>1QAZ_4_6</t>
  </si>
  <si>
    <t>2SQC_20_18</t>
  </si>
  <si>
    <t>1QSA_6_4</t>
  </si>
  <si>
    <t>1RWH_2_4</t>
  </si>
  <si>
    <t>1G9G_11_8</t>
  </si>
  <si>
    <t>2FBA_5_3</t>
  </si>
  <si>
    <t>1WA5_27_25</t>
  </si>
  <si>
    <t>1SU8_1_5</t>
  </si>
  <si>
    <t>1NZY_1_0</t>
  </si>
  <si>
    <t>1WA5_35_33</t>
  </si>
  <si>
    <t>1OJH_1_4</t>
  </si>
  <si>
    <t>1WA5_7_5</t>
  </si>
  <si>
    <t>1N7O_2_4</t>
  </si>
  <si>
    <t>1G9G_8_6</t>
  </si>
  <si>
    <t>1CB8_2_4</t>
  </si>
  <si>
    <t>1WA5_3_5</t>
  </si>
  <si>
    <t>2SQC_14_12</t>
  </si>
  <si>
    <t>1XVH_9_11</t>
  </si>
  <si>
    <t>1WA5_37_39</t>
  </si>
  <si>
    <t>1G9G_1_3</t>
  </si>
  <si>
    <t>2RFQ_27_30</t>
  </si>
  <si>
    <t>1HZ4_17_19</t>
  </si>
  <si>
    <t>1X9D_1_3</t>
  </si>
  <si>
    <t>1WA5_43_41</t>
  </si>
  <si>
    <t>1H12_1_3</t>
  </si>
  <si>
    <t>1R0D_0_3</t>
  </si>
  <si>
    <t>1R0D_4_2</t>
  </si>
  <si>
    <t>1KS8_3_1</t>
  </si>
  <si>
    <t>1JCD_1_0</t>
  </si>
  <si>
    <t>1ELK_4_2</t>
  </si>
  <si>
    <t>1WOL_3_1</t>
  </si>
  <si>
    <t>2GZ6_15_13</t>
  </si>
  <si>
    <t>2AHF_9_7</t>
  </si>
  <si>
    <t>1KS8_5_3</t>
  </si>
  <si>
    <t>1JNR_15_12</t>
  </si>
  <si>
    <t>1QAZ_2_0</t>
  </si>
  <si>
    <t>3DHZ_12_10</t>
  </si>
  <si>
    <t>1CB8_6_4</t>
  </si>
  <si>
    <t>1RWH_6_4</t>
  </si>
  <si>
    <t>1KS8_7_5</t>
  </si>
  <si>
    <t>3CKC_5_8</t>
  </si>
  <si>
    <t>1CLC_5_3</t>
  </si>
  <si>
    <t>1CB8_6_8</t>
  </si>
  <si>
    <t>2CVD_3_1</t>
  </si>
  <si>
    <t>2BK5_7_10</t>
  </si>
  <si>
    <t>3ELK_2_7</t>
  </si>
  <si>
    <t>1H2V_8_6</t>
  </si>
  <si>
    <t>1KS8_2_0</t>
  </si>
  <si>
    <t>1CLC_2_0</t>
  </si>
  <si>
    <t>1NA3_0_2</t>
  </si>
  <si>
    <t>1IHG_3_5</t>
  </si>
  <si>
    <t>1HH8_0_1</t>
  </si>
  <si>
    <t>1G9G_5_7</t>
  </si>
  <si>
    <t>2OKU_3_1</t>
  </si>
  <si>
    <t>1XNF_13_15</t>
  </si>
  <si>
    <t>1QQF_2_0</t>
  </si>
  <si>
    <t>3FP5_3_0</t>
  </si>
  <si>
    <t>2SQC_8_5</t>
  </si>
  <si>
    <t>2SQC_12_10</t>
  </si>
  <si>
    <t>1WA5_2_3</t>
  </si>
  <si>
    <t>2O02_0_2</t>
  </si>
  <si>
    <t>1YNB_4_5</t>
  </si>
  <si>
    <t>1M1N_35_32</t>
  </si>
  <si>
    <t>1WA5_10_11</t>
  </si>
  <si>
    <t>3GF3_2_1</t>
  </si>
  <si>
    <t>1HH8_7_5</t>
  </si>
  <si>
    <t>1ELW_4_6</t>
  </si>
  <si>
    <t>1NA3_2_4</t>
  </si>
  <si>
    <t>1KS8_9_7</t>
  </si>
  <si>
    <t>1HXI_1_3</t>
  </si>
  <si>
    <t>1NZN_3_5</t>
  </si>
  <si>
    <t>1XNF_19_21</t>
  </si>
  <si>
    <t>3A8G_3_4</t>
  </si>
  <si>
    <t>1G6U_0_3</t>
  </si>
  <si>
    <t>1XNF_15_17</t>
  </si>
  <si>
    <t>1Q0Q_16_14</t>
  </si>
  <si>
    <t>2GZ4_7_4</t>
  </si>
  <si>
    <t>1EPW_1_2</t>
  </si>
  <si>
    <t>3CEX_2_1</t>
  </si>
  <si>
    <t>1F0L_6_0</t>
  </si>
  <si>
    <t>2Q0T_0_1</t>
  </si>
  <si>
    <t>1G9G_2_4</t>
  </si>
  <si>
    <t>2RFQ_4_6</t>
  </si>
  <si>
    <t>1IRQ_3_0</t>
  </si>
  <si>
    <t>2HHP_5_3</t>
  </si>
  <si>
    <t>1GXM_4_2</t>
  </si>
  <si>
    <t>1WA5_7_9</t>
  </si>
  <si>
    <t>2NR4_3_5</t>
  </si>
  <si>
    <t>1H12_5_7</t>
  </si>
  <si>
    <t>1UW4_10_8</t>
  </si>
  <si>
    <t>1QSA_3_4</t>
  </si>
  <si>
    <t>2Q9R_0_4</t>
  </si>
  <si>
    <t>1LSH_5_7</t>
  </si>
  <si>
    <t>1MXR_10_8</t>
  </si>
  <si>
    <t>1SYY_11_9</t>
  </si>
  <si>
    <t>1WA5_37_35</t>
  </si>
  <si>
    <t>2D5B_9_11</t>
  </si>
  <si>
    <t>3K40_14_18</t>
  </si>
  <si>
    <t>1QHD_0_5</t>
  </si>
  <si>
    <t>1QSA_3_2</t>
  </si>
  <si>
    <t>2I2O_6_8</t>
  </si>
  <si>
    <t>1QSA_7_9</t>
  </si>
  <si>
    <t>1QSA_13_11</t>
  </si>
  <si>
    <t>3BGE_39_9</t>
  </si>
  <si>
    <t>3IR4_0_3</t>
  </si>
  <si>
    <t>2GRR_8_6</t>
  </si>
  <si>
    <t>1X9D_11_13</t>
  </si>
  <si>
    <t>2V40_1_2</t>
  </si>
  <si>
    <t>3GVO_10_12</t>
  </si>
  <si>
    <t>3BNE_7_9</t>
  </si>
  <si>
    <t>1A6Q_1_2</t>
  </si>
  <si>
    <t>1JF3_5_4</t>
  </si>
  <si>
    <t>2HUE_4_1</t>
  </si>
  <si>
    <t>1IOM_2_1</t>
  </si>
  <si>
    <t>3HAK_2_1</t>
  </si>
  <si>
    <t>1H99_4_6</t>
  </si>
  <si>
    <t>1J77_5_1</t>
  </si>
  <si>
    <t>1JFB_4_6</t>
  </si>
  <si>
    <t>2I5H_0_2</t>
  </si>
  <si>
    <t>1IO7_0_1</t>
  </si>
  <si>
    <t>2WY4_5_4</t>
  </si>
  <si>
    <t>1Q4G_10_9</t>
  </si>
  <si>
    <t>1YAR_16_17</t>
  </si>
  <si>
    <t>2OEB_3_4</t>
  </si>
  <si>
    <t>2LIS_1_0</t>
  </si>
  <si>
    <t>1MUN_1_2</t>
  </si>
  <si>
    <t>1R1H_6_5</t>
  </si>
  <si>
    <t>1T7R_4_5</t>
  </si>
  <si>
    <t>1JR8_2_3</t>
  </si>
  <si>
    <t>1H99_5_4</t>
  </si>
  <si>
    <t>1N3L_3_2</t>
  </si>
  <si>
    <t>1CSH_3_2</t>
  </si>
  <si>
    <t>2R7G_5_6</t>
  </si>
  <si>
    <t>1F5N_4_5</t>
  </si>
  <si>
    <t>1N5U_5_4</t>
  </si>
  <si>
    <t>2I5U_1_2</t>
  </si>
  <si>
    <t>2FBH_8_5</t>
  </si>
  <si>
    <t>2PV4_1_2</t>
  </si>
  <si>
    <t>2WF7_0_2</t>
  </si>
  <si>
    <t>2QIB_11_10</t>
  </si>
  <si>
    <t>1N5U_10_11</t>
  </si>
  <si>
    <t>3HJE_8_9</t>
  </si>
  <si>
    <t>1W27_10_13</t>
  </si>
  <si>
    <t>3HJE_10_9</t>
  </si>
  <si>
    <t>3EUP_4_3</t>
  </si>
  <si>
    <t>1HBN_35_36</t>
  </si>
  <si>
    <t>1D2V_2_1</t>
  </si>
  <si>
    <t>2RKH_0_1</t>
  </si>
  <si>
    <t>2IBD_2_5</t>
  </si>
  <si>
    <t>1KL9_3_0</t>
  </si>
  <si>
    <t>1O0W_1_2</t>
  </si>
  <si>
    <t>1F0Y_9_10</t>
  </si>
  <si>
    <t>2GDM_1_4</t>
  </si>
  <si>
    <t>1LS1_3_2</t>
  </si>
  <si>
    <t>3BQY_3_2</t>
  </si>
  <si>
    <t>1N5U_0_1</t>
  </si>
  <si>
    <t>1VIN_3_2</t>
  </si>
  <si>
    <t>3ED5_3_0</t>
  </si>
  <si>
    <t>2FNA_5_6</t>
  </si>
  <si>
    <t>3FRH_0_1</t>
  </si>
  <si>
    <t>2ZWU_4_5</t>
  </si>
  <si>
    <t>2OC5_3_5</t>
  </si>
  <si>
    <t>1U8V_35_37</t>
  </si>
  <si>
    <t>3BG2_5_1</t>
  </si>
  <si>
    <t>1GKM_5_2</t>
  </si>
  <si>
    <t>1WUI_11_12</t>
  </si>
  <si>
    <t>1PX5_5_4</t>
  </si>
  <si>
    <t>1N5U_14_13</t>
  </si>
  <si>
    <t>1HBN_21_20</t>
  </si>
  <si>
    <t>2IJ2_3_6</t>
  </si>
  <si>
    <t>2R7G_1_0</t>
  </si>
  <si>
    <t>1BGV_8_9</t>
  </si>
  <si>
    <t>1SYY_8_7</t>
  </si>
  <si>
    <t>3G1M_2_6</t>
  </si>
  <si>
    <t>1PQ1_0_4</t>
  </si>
  <si>
    <t>1HBN_35_34</t>
  </si>
  <si>
    <t>2ZFD_4_3</t>
  </si>
  <si>
    <t>1PO5_3_8</t>
  </si>
  <si>
    <t>1N1J_4_3</t>
  </si>
  <si>
    <t>1T8K_0_1</t>
  </si>
  <si>
    <t>1CSH_6_12</t>
  </si>
  <si>
    <t>1WVF_6_7</t>
  </si>
  <si>
    <t>1M0W_0_4</t>
  </si>
  <si>
    <t>1M0W_9_13</t>
  </si>
  <si>
    <t>1B6A_1_0</t>
  </si>
  <si>
    <t>3CRR_1_2</t>
  </si>
  <si>
    <t>1N97_3_4</t>
  </si>
  <si>
    <t>3C9P_1_2</t>
  </si>
  <si>
    <t>1TBF_6_5</t>
  </si>
  <si>
    <t>1JFB_1_2</t>
  </si>
  <si>
    <t>1EVY_3_4</t>
  </si>
  <si>
    <t>2INC_20_21</t>
  </si>
  <si>
    <t>1GAK_1_3</t>
  </si>
  <si>
    <t>1XWL_9_8</t>
  </si>
  <si>
    <t>1AK0_3_6</t>
  </si>
  <si>
    <t>2QIB_11_4</t>
  </si>
  <si>
    <t>2CIB_1_2</t>
  </si>
  <si>
    <t>1EG3_3_4</t>
  </si>
  <si>
    <t>1OJ7_6_5</t>
  </si>
  <si>
    <t>1PO5_2_3</t>
  </si>
  <si>
    <t>2VKE_6_2</t>
  </si>
  <si>
    <t>3BB0_4_1</t>
  </si>
  <si>
    <t>2QEE_22_31</t>
  </si>
  <si>
    <t>1N40_2_5</t>
  </si>
  <si>
    <t>3BNE_4_8</t>
  </si>
  <si>
    <t>1R1H_11_2</t>
  </si>
  <si>
    <t>1KP8_71_59</t>
  </si>
  <si>
    <t>3G21_0_1</t>
  </si>
  <si>
    <t>2R7G_2_1</t>
  </si>
  <si>
    <t>2QWO_3_2</t>
  </si>
  <si>
    <t>1N93_2_3</t>
  </si>
  <si>
    <t>1TBF_2_1</t>
  </si>
  <si>
    <t>2IZX_1_0</t>
  </si>
  <si>
    <t>1NG6_2_1</t>
  </si>
  <si>
    <t>1YMT_1_0</t>
  </si>
  <si>
    <t>2AXQ_16_17</t>
  </si>
  <si>
    <t>1E8Y_16_14</t>
  </si>
  <si>
    <t>1N5U_7_8</t>
  </si>
  <si>
    <t>2EV0_9_8</t>
  </si>
  <si>
    <t>1E7L_11_9</t>
  </si>
  <si>
    <t>2BKM_0_1</t>
  </si>
  <si>
    <t>1HBN_15_14</t>
  </si>
  <si>
    <t>1Q0Q_15_16</t>
  </si>
  <si>
    <t>2IJ2_2_3</t>
  </si>
  <si>
    <t>1S1F_1_2</t>
  </si>
  <si>
    <t>2HI0_0_2</t>
  </si>
  <si>
    <t>2AH5_1_0</t>
  </si>
  <si>
    <t>1GK9_12_14</t>
  </si>
  <si>
    <t>2O36_15_14</t>
  </si>
  <si>
    <t>1H99_2_0</t>
  </si>
  <si>
    <t>1HBN_31_33</t>
  </si>
  <si>
    <t>1WUR_7_8</t>
  </si>
  <si>
    <t>1H97_4_1</t>
  </si>
  <si>
    <t>2QTQ_2_5</t>
  </si>
  <si>
    <t>2BKM_2_0</t>
  </si>
  <si>
    <t>1Q1F_4_1</t>
  </si>
  <si>
    <t>1QQ5_1_0</t>
  </si>
  <si>
    <t>1GAK_1_0</t>
  </si>
  <si>
    <t>2WCJ_2_3</t>
  </si>
  <si>
    <t>3BB0_10_7</t>
  </si>
  <si>
    <t>2FI1_0_1</t>
  </si>
  <si>
    <t>2Q52_3_2</t>
  </si>
  <si>
    <t>1HBN_8_9</t>
  </si>
  <si>
    <t>1XG0_2_4</t>
  </si>
  <si>
    <t>1TU9_4_1</t>
  </si>
  <si>
    <t>1TXG_3_4</t>
  </si>
  <si>
    <t>1W27_12_11</t>
  </si>
  <si>
    <t>1W27_26_31</t>
  </si>
  <si>
    <t>1DJ8_4_3</t>
  </si>
  <si>
    <t>2R7G_7_6</t>
  </si>
  <si>
    <t>1VDK_9_14</t>
  </si>
  <si>
    <t>1U09_0_5</t>
  </si>
  <si>
    <t>1VIN_7_6</t>
  </si>
  <si>
    <t>1H97_5_4</t>
  </si>
  <si>
    <t>1K8K_23_24</t>
  </si>
  <si>
    <t>1XG0_5_3</t>
  </si>
  <si>
    <t>1SAU_1_0</t>
  </si>
  <si>
    <t>1Q08_3_4</t>
  </si>
  <si>
    <t>2NRL_3_0</t>
  </si>
  <si>
    <t>3D3B_3_0</t>
  </si>
  <si>
    <t>2W72_10_7</t>
  </si>
  <si>
    <t>2NP5_3_2</t>
  </si>
  <si>
    <t>3CWR_12_11</t>
  </si>
  <si>
    <t>1H99_0_1</t>
  </si>
  <si>
    <t>1U84_3_2</t>
  </si>
  <si>
    <t>1VDK_10_11</t>
  </si>
  <si>
    <t>1PX5_5_6</t>
  </si>
  <si>
    <t>2W72_16_13</t>
  </si>
  <si>
    <t>1HBN_14_13</t>
  </si>
  <si>
    <t>1GBS_3_4</t>
  </si>
  <si>
    <t>1YNB_16_13</t>
  </si>
  <si>
    <t>1KBL_4_5</t>
  </si>
  <si>
    <t>3CZ1_4_5</t>
  </si>
  <si>
    <t>2V6K_5_0</t>
  </si>
  <si>
    <t>3BQY_5_1</t>
  </si>
  <si>
    <t>3BG2_20_19</t>
  </si>
  <si>
    <t>1QMG_20_6</t>
  </si>
  <si>
    <t>3BNY_5_8</t>
  </si>
  <si>
    <t>1OTK_2_5</t>
  </si>
  <si>
    <t>1FC3_4_5</t>
  </si>
  <si>
    <t>1NG6_4_5</t>
  </si>
  <si>
    <t>1U2K_0_2</t>
  </si>
  <si>
    <t>1DEK_9_8</t>
  </si>
  <si>
    <t>1IT2_4_1</t>
  </si>
  <si>
    <t>3G1M_5_4</t>
  </si>
  <si>
    <t>1CUK_0_1</t>
  </si>
  <si>
    <t>2HHP_2_1</t>
  </si>
  <si>
    <t>1MBA_1_4</t>
  </si>
  <si>
    <t>2FBQ_2_1</t>
  </si>
  <si>
    <t>3K40_21_20</t>
  </si>
  <si>
    <t>3G46_2_8</t>
  </si>
  <si>
    <t>1D2N_14_15</t>
  </si>
  <si>
    <t>1Y9I_6_5</t>
  </si>
  <si>
    <t>1DLW_2_0</t>
  </si>
  <si>
    <t>1KR7_2_0</t>
  </si>
  <si>
    <t>1Q0Q_17_16</t>
  </si>
  <si>
    <t>2WLV_2_3</t>
  </si>
  <si>
    <t>2WY4_4_1</t>
  </si>
  <si>
    <t>2CIB_2_5</t>
  </si>
  <si>
    <t>1DLW_0_1</t>
  </si>
  <si>
    <t>3BHQ_13_9</t>
  </si>
  <si>
    <t>2HHP_5_4</t>
  </si>
  <si>
    <t>1MUN_1_4</t>
  </si>
  <si>
    <t>1S8N_3_4</t>
  </si>
  <si>
    <t>2WB0_2_0</t>
  </si>
  <si>
    <t>1U84_2_1</t>
  </si>
  <si>
    <t>1N40_1_2</t>
  </si>
  <si>
    <t>2R44_3_4</t>
  </si>
  <si>
    <t>2ZWU_1_2</t>
  </si>
  <si>
    <t>2O4T_5_1</t>
  </si>
  <si>
    <t>1EVY_5_4</t>
  </si>
  <si>
    <t>1OJ7_16_20</t>
  </si>
  <si>
    <t>2EW2_2_3</t>
  </si>
  <si>
    <t>1S1F_4_6</t>
  </si>
  <si>
    <t>1HYP_1_2</t>
  </si>
  <si>
    <t>1JF3_4_1</t>
  </si>
  <si>
    <t>2HCF_0_1</t>
  </si>
  <si>
    <t>1N40_6_7</t>
  </si>
  <si>
    <t>1Q8C_3_0</t>
  </si>
  <si>
    <t>1N97_4_7</t>
  </si>
  <si>
    <t>2INC_18_21</t>
  </si>
  <si>
    <t>1PBW_3_2</t>
  </si>
  <si>
    <t>2PTR_0_6</t>
  </si>
  <si>
    <t>1N3L_1_6</t>
  </si>
  <si>
    <t>2PV7_11_3</t>
  </si>
  <si>
    <t>1GWU_0_2</t>
  </si>
  <si>
    <t>1K92_3_2</t>
  </si>
  <si>
    <t>3F6F_4_0</t>
  </si>
  <si>
    <t>1PPR_6_9</t>
  </si>
  <si>
    <t>1EEM_4_0</t>
  </si>
  <si>
    <t>1K0M_4_0</t>
  </si>
  <si>
    <t>2C3N_14_9</t>
  </si>
  <si>
    <t>1F0L_4_2</t>
  </si>
  <si>
    <t>1KL9_1_0</t>
  </si>
  <si>
    <t>1SGM_1_2</t>
  </si>
  <si>
    <t>1EG3_7_8</t>
  </si>
  <si>
    <t>1JNR_14_13</t>
  </si>
  <si>
    <t>3CWR_6_2</t>
  </si>
  <si>
    <t>1OMR_4_5</t>
  </si>
  <si>
    <t>1PPR_12_15</t>
  </si>
  <si>
    <t>1EVY_4_15</t>
  </si>
  <si>
    <t>1SSQ_37_38</t>
  </si>
  <si>
    <t>2G7S_1_2</t>
  </si>
  <si>
    <t>2P54_0_2</t>
  </si>
  <si>
    <t>3DHZ_15_19</t>
  </si>
  <si>
    <t>1KR7_0_1</t>
  </si>
  <si>
    <t>2HI0_1_2</t>
  </si>
  <si>
    <t>1G8M_16_15</t>
  </si>
  <si>
    <t>1QSA_20_24</t>
  </si>
  <si>
    <t>2RCC_4_8</t>
  </si>
  <si>
    <t>1P7T_13_16</t>
  </si>
  <si>
    <t>3FGH_1_0</t>
  </si>
  <si>
    <t>1P7T_17_16</t>
  </si>
  <si>
    <t>3CWR_13_12</t>
  </si>
  <si>
    <t>1OW4_2_3</t>
  </si>
  <si>
    <t>1M70_1_0</t>
  </si>
  <si>
    <t>3A04_4_3</t>
  </si>
  <si>
    <t>1M70_4_3</t>
  </si>
  <si>
    <t>2IM9_2_3</t>
  </si>
  <si>
    <t>1KQ3_8_9</t>
  </si>
  <si>
    <t>1KS9_3_4</t>
  </si>
  <si>
    <t>2Q9R_5_0</t>
  </si>
  <si>
    <t>1QV1_4_6</t>
  </si>
  <si>
    <t>1MKI_5_6</t>
  </si>
  <si>
    <t>1O0W_13_10</t>
  </si>
  <si>
    <t>1QMG_6_3</t>
  </si>
  <si>
    <t>2VKE_1_2</t>
  </si>
  <si>
    <t>2C4J_10_6</t>
  </si>
  <si>
    <t>2WB9_4_0</t>
  </si>
  <si>
    <t>2CVD_8_5</t>
  </si>
  <si>
    <t>2PVQ_4_0</t>
  </si>
  <si>
    <t>2R44_5_4</t>
  </si>
  <si>
    <t>3FWN_17_21</t>
  </si>
  <si>
    <t>3FWN_24_11</t>
  </si>
  <si>
    <t>1OJ7_8_6</t>
  </si>
  <si>
    <t>1FIP_0_3</t>
  </si>
  <si>
    <t>3DR9_3_2</t>
  </si>
  <si>
    <t>1MC2_2_1</t>
  </si>
  <si>
    <t>1DOW_5_4</t>
  </si>
  <si>
    <t>3FWN_7_20</t>
  </si>
  <si>
    <t>2H8O_5_7</t>
  </si>
  <si>
    <t>1POC_1_0</t>
  </si>
  <si>
    <t>1LS1_0_1</t>
  </si>
  <si>
    <t>1XVH_10_9</t>
  </si>
  <si>
    <t>2GYQ_7_8</t>
  </si>
  <si>
    <t>1V33_4_2</t>
  </si>
  <si>
    <t>2H8O_0_1</t>
  </si>
  <si>
    <t>2QIS_5_7</t>
  </si>
  <si>
    <t>1N5U_17_18</t>
  </si>
  <si>
    <t>2R3I_2_1</t>
  </si>
  <si>
    <t>2NR7_5_4</t>
  </si>
  <si>
    <t>2PBP_8_7</t>
  </si>
  <si>
    <t>1AH7_7_5</t>
  </si>
  <si>
    <t>3D3B_3_4</t>
  </si>
  <si>
    <t>1VKE_30_31</t>
  </si>
  <si>
    <t>2GM6_1_0</t>
  </si>
  <si>
    <t>3BNE_7_11</t>
  </si>
  <si>
    <t>3CJW_4_2</t>
  </si>
  <si>
    <t>2H8O_10_9</t>
  </si>
  <si>
    <t>2QLU_2_1</t>
  </si>
  <si>
    <t>2QLU_4_5</t>
  </si>
  <si>
    <t>2E2R_1_3</t>
  </si>
  <si>
    <t>2QFA_2_1</t>
  </si>
  <si>
    <t>3BYV_4_3</t>
  </si>
  <si>
    <t>1LWB_1_2</t>
  </si>
  <si>
    <t>3BHQ_2_1</t>
  </si>
  <si>
    <t>3B5O_8_4</t>
  </si>
  <si>
    <t>3BVF_1_26</t>
  </si>
  <si>
    <t>2PKE_7_6</t>
  </si>
  <si>
    <t>2QM8_16_17</t>
  </si>
  <si>
    <t>1MTY_1_5</t>
  </si>
  <si>
    <t>1XG0_8_9</t>
  </si>
  <si>
    <t>3B40_3_4</t>
  </si>
  <si>
    <t>3FGH_5_2</t>
  </si>
  <si>
    <t>1SQG_3_4</t>
  </si>
  <si>
    <t>2FD5_6_2</t>
  </si>
  <si>
    <t>2QTQ_11_10</t>
  </si>
  <si>
    <t>2EU9_1_2</t>
  </si>
  <si>
    <t>3G7R_2_4</t>
  </si>
  <si>
    <t>2VKE_6_4</t>
  </si>
  <si>
    <t>1LWB_3_2</t>
  </si>
  <si>
    <t>1C3C_30_6</t>
  </si>
  <si>
    <t>2P54_5_3</t>
  </si>
  <si>
    <t>1K8K_20_21</t>
  </si>
  <si>
    <t>1HW1_10_15</t>
  </si>
  <si>
    <t>3F6F_9_1</t>
  </si>
  <si>
    <t>1RKT_8_11</t>
  </si>
  <si>
    <t>2QIB_12_11</t>
  </si>
  <si>
    <t>1G8M_10_1</t>
  </si>
  <si>
    <t>2HYT_10_11</t>
  </si>
  <si>
    <t>2Z0A_0_3</t>
  </si>
  <si>
    <t>2IBD_1_2</t>
  </si>
  <si>
    <t>1NZY_16_7</t>
  </si>
  <si>
    <t>1H99_3_1</t>
  </si>
  <si>
    <t>1MXR_7_6</t>
  </si>
  <si>
    <t>1B9M_3_1</t>
  </si>
  <si>
    <t>2QHN_1_0</t>
  </si>
  <si>
    <t>2YVE_6_2</t>
  </si>
  <si>
    <t>1U84_3_0</t>
  </si>
  <si>
    <t>2IM8_1_2</t>
  </si>
  <si>
    <t>1E7L_1_7</t>
  </si>
  <si>
    <t>1IT2_5_4</t>
  </si>
  <si>
    <t>1NQ7_4_2</t>
  </si>
  <si>
    <t>2W5A_3_2</t>
  </si>
  <si>
    <t>1PQ1_2_3</t>
  </si>
  <si>
    <t>1EPW_7_8</t>
  </si>
  <si>
    <t>2IZR_1_2</t>
  </si>
  <si>
    <t>1WVF_1_0</t>
  </si>
  <si>
    <t>1FCY_4_2</t>
  </si>
  <si>
    <t>1P7T_7_1</t>
  </si>
  <si>
    <t>3K40_11_0</t>
  </si>
  <si>
    <t>3F61_2_1</t>
  </si>
  <si>
    <t>2RDC_5_1</t>
  </si>
  <si>
    <t>2QFA_1_0</t>
  </si>
  <si>
    <t>3BB0_3_0</t>
  </si>
  <si>
    <t>3BQY_5_3</t>
  </si>
  <si>
    <t>1EYQ_1_2</t>
  </si>
  <si>
    <t>1K3Y_9_1</t>
  </si>
  <si>
    <t>2QOL_2_1</t>
  </si>
  <si>
    <t>1FCY_1_0</t>
  </si>
  <si>
    <t>1I36_3_11</t>
  </si>
  <si>
    <t>1XLY_1_7</t>
  </si>
  <si>
    <t>1SSQ_33_32</t>
  </si>
  <si>
    <t>1X8B_3_2</t>
  </si>
  <si>
    <t>2JDI_46_45</t>
  </si>
  <si>
    <t>1W27_11_10</t>
  </si>
  <si>
    <t>2FBQ_6_5</t>
  </si>
  <si>
    <t>2QIS_0_1</t>
  </si>
  <si>
    <t>2PTR_20_45</t>
  </si>
  <si>
    <t>1K7W_5_27</t>
  </si>
  <si>
    <t>1LFP_6_3</t>
  </si>
  <si>
    <t>2NRL_3_4</t>
  </si>
  <si>
    <t>2NP5_3_4</t>
  </si>
  <si>
    <t>2BKM_3_2</t>
  </si>
  <si>
    <t>1W53_7_2</t>
  </si>
  <si>
    <t>1N5U_14_15</t>
  </si>
  <si>
    <t>3DHZ_9_8</t>
  </si>
  <si>
    <t>1E8Y_10_9</t>
  </si>
  <si>
    <t>1RDQ_3_2</t>
  </si>
  <si>
    <t>2O4T_0_1</t>
  </si>
  <si>
    <t>1H2V_18_17</t>
  </si>
  <si>
    <t>1G8M_5_3</t>
  </si>
  <si>
    <t>1B4F_0_1</t>
  </si>
  <si>
    <t>3BNY_7_16</t>
  </si>
  <si>
    <t>2W72_10_11</t>
  </si>
  <si>
    <t>2QUP_0_3</t>
  </si>
  <si>
    <t>2HKV_3_1</t>
  </si>
  <si>
    <t>5CSM_6_1</t>
  </si>
  <si>
    <t>2C30_2_1</t>
  </si>
  <si>
    <t>2WTG_4_5</t>
  </si>
  <si>
    <t>1F5N_7_6</t>
  </si>
  <si>
    <t>2QGU_0_1</t>
  </si>
  <si>
    <t>1N7O_12_1</t>
  </si>
  <si>
    <t>3BG2_60_61</t>
  </si>
  <si>
    <t>1SG6_8_3</t>
  </si>
  <si>
    <t>1TU9_4_5</t>
  </si>
  <si>
    <t>1DEK_4_10</t>
  </si>
  <si>
    <t>2BIK_1_0</t>
  </si>
  <si>
    <t>1DCI_21_22</t>
  </si>
  <si>
    <t>2PV7_10_3</t>
  </si>
  <si>
    <t>1OJH_0_4</t>
  </si>
  <si>
    <t>2HHP_8_9</t>
  </si>
  <si>
    <t>2H8O_7_3</t>
  </si>
  <si>
    <t>2OFK_2_0</t>
  </si>
  <si>
    <t>3BB0_1_0</t>
  </si>
  <si>
    <t>1F5N_0_4</t>
  </si>
  <si>
    <t>2C3N_0_7</t>
  </si>
  <si>
    <t>2QIS_3_7</t>
  </si>
  <si>
    <t>1VIN_2_1</t>
  </si>
  <si>
    <t>3BNY_5_1</t>
  </si>
  <si>
    <t>3BVF_13_14</t>
  </si>
  <si>
    <t>2FBQ_2_6</t>
  </si>
  <si>
    <t>1HBN_20_19</t>
  </si>
  <si>
    <t>1F5N_7_10</t>
  </si>
  <si>
    <t>3BHY_2_1</t>
  </si>
  <si>
    <t>3BB0_6_7</t>
  </si>
  <si>
    <t>1VDK_33_4</t>
  </si>
  <si>
    <t>1YAR_6_35</t>
  </si>
  <si>
    <t>H</t>
  </si>
  <si>
    <t>1IE9_1_0</t>
  </si>
  <si>
    <t>2RCC_7_8</t>
  </si>
  <si>
    <t>1YNB_7_0</t>
  </si>
  <si>
    <t>2W72_17_16</t>
  </si>
  <si>
    <t>3G1M_1_2</t>
  </si>
  <si>
    <t>1K8U_5_2</t>
  </si>
  <si>
    <t>3CSX_3_0</t>
  </si>
  <si>
    <t>1K8K_17_24</t>
  </si>
  <si>
    <t>1VDK_6_35</t>
  </si>
  <si>
    <t>1MR8_2_5</t>
  </si>
  <si>
    <t>1GKM_47_8</t>
  </si>
  <si>
    <t>1Q8C_4_3</t>
  </si>
  <si>
    <t>1OJ7_3_14</t>
  </si>
  <si>
    <t>1LS1_1_2</t>
  </si>
  <si>
    <t>1KP8_128_117</t>
  </si>
  <si>
    <t>I</t>
  </si>
  <si>
    <t>1QMG_9_4</t>
  </si>
  <si>
    <t>1XQO_3_2</t>
  </si>
  <si>
    <t>1KP8_202_191</t>
  </si>
  <si>
    <t>N</t>
  </si>
  <si>
    <t>1NQ7_1_0</t>
  </si>
  <si>
    <t>1DLW_2_3</t>
  </si>
  <si>
    <t>2EW2_7_8</t>
  </si>
  <si>
    <t>1K8K_22_24</t>
  </si>
  <si>
    <t>3BG2_20_14</t>
  </si>
  <si>
    <t>1P7T_16_15</t>
  </si>
  <si>
    <t>1W27_8_24</t>
  </si>
  <si>
    <t>1SFX_3_0</t>
  </si>
  <si>
    <t>1R1H_6_8</t>
  </si>
  <si>
    <t>2HYT_8_11</t>
  </si>
  <si>
    <t>1TBF_2_5</t>
  </si>
  <si>
    <t>1N93_3_5</t>
  </si>
  <si>
    <t>1SFX_3_7</t>
  </si>
  <si>
    <t>1XSV_7_6</t>
  </si>
  <si>
    <t>1HW1_7_6</t>
  </si>
  <si>
    <t>1DLJ_5_12</t>
  </si>
  <si>
    <t>3FWN_6_19</t>
  </si>
  <si>
    <t>1R0D_4_5</t>
  </si>
  <si>
    <t>1T5O_9_8</t>
  </si>
  <si>
    <t>3CEX_2_0</t>
  </si>
  <si>
    <t>1SUM_5_2</t>
  </si>
  <si>
    <t>2QUP_1_2</t>
  </si>
  <si>
    <t>1R1H_13_14</t>
  </si>
  <si>
    <t>1K7W_22_23</t>
  </si>
  <si>
    <t>1FPO_0_1</t>
  </si>
  <si>
    <t>1DOW_3_6</t>
  </si>
  <si>
    <t>1N5U_6_5</t>
  </si>
  <si>
    <t>1JNR_10_9</t>
  </si>
  <si>
    <t>1YMT_2_4</t>
  </si>
  <si>
    <t>1XVH_4_5</t>
  </si>
  <si>
    <t>1YOZ_1_2</t>
  </si>
  <si>
    <t>2E0A_12_13</t>
  </si>
  <si>
    <t>1A6Q_3_5</t>
  </si>
  <si>
    <t>3BDZ_8_2</t>
  </si>
  <si>
    <t>1H2V_17_16</t>
  </si>
  <si>
    <t>1N40_7_1</t>
  </si>
  <si>
    <t>2Q0T_26_3</t>
  </si>
  <si>
    <t>2Q0T_4_25</t>
  </si>
  <si>
    <t>2GMY_11_14</t>
  </si>
  <si>
    <t>1IN4_4_3</t>
  </si>
  <si>
    <t>1VKE_8_10</t>
  </si>
  <si>
    <t>2QEE_9_8</t>
  </si>
  <si>
    <t>1GU9_8_13</t>
  </si>
  <si>
    <t>1VL2_13_14</t>
  </si>
  <si>
    <t>2OYO_19_17</t>
  </si>
  <si>
    <t>2GMY_3_1</t>
  </si>
  <si>
    <t>1JFB_8_1</t>
  </si>
  <si>
    <t>1K8K_21_19</t>
  </si>
  <si>
    <t>1GWU_0_3</t>
  </si>
  <si>
    <t>2OU3_7_6</t>
  </si>
  <si>
    <t>2CIB_8_1</t>
  </si>
  <si>
    <t>2ZWU_8_1</t>
  </si>
  <si>
    <t>3E2O_3_0</t>
  </si>
  <si>
    <t>1C1K_6_3</t>
  </si>
  <si>
    <t>1KBL_15_14</t>
  </si>
  <si>
    <t>2WTG_3_5</t>
  </si>
  <si>
    <t>1CSH_10_8</t>
  </si>
  <si>
    <t>1PO5_2_11</t>
  </si>
  <si>
    <t>2WB0_4_2</t>
  </si>
  <si>
    <t>1HBN_8_10</t>
  </si>
  <si>
    <t>1F1M_0_4</t>
  </si>
  <si>
    <t>1NVM_26_24</t>
  </si>
  <si>
    <t>2NRL_2_4</t>
  </si>
  <si>
    <t>1S1F_1_8</t>
  </si>
  <si>
    <t>2BJV_4_3</t>
  </si>
  <si>
    <t>1BGV_9_5</t>
  </si>
  <si>
    <t>1E8Y_13_14</t>
  </si>
  <si>
    <t>1BGV_25_26</t>
  </si>
  <si>
    <t>1P7T_15_13</t>
  </si>
  <si>
    <t>1IO7_5_0</t>
  </si>
  <si>
    <t>1UW4_4_6</t>
  </si>
  <si>
    <t>2OEB_0_4</t>
  </si>
  <si>
    <t>1QMG_9_6</t>
  </si>
  <si>
    <t>1Z0P_1_3</t>
  </si>
  <si>
    <t>1GU9_15_18</t>
  </si>
  <si>
    <t>1FIP_4_0</t>
  </si>
  <si>
    <t>1K8K_24_16</t>
  </si>
  <si>
    <t>1W53_7_1</t>
  </si>
  <si>
    <t>1H2V_13_14</t>
  </si>
  <si>
    <t>1Q0Q_15_17</t>
  </si>
  <si>
    <t>1K92_3_4</t>
  </si>
  <si>
    <t>1TBF_4_6</t>
  </si>
  <si>
    <t>2HKV_7_3</t>
  </si>
  <si>
    <t>1KHD_1_12</t>
  </si>
  <si>
    <t>3DLQ_3_1</t>
  </si>
  <si>
    <t>2VKE_4_2</t>
  </si>
  <si>
    <t>1GU9_20_18</t>
  </si>
  <si>
    <t>1AF7_3_2</t>
  </si>
  <si>
    <t>3BQY_3_1</t>
  </si>
  <si>
    <t>2E0A_14_11</t>
  </si>
  <si>
    <t>2QEU_18_1</t>
  </si>
  <si>
    <t>1VKE_14_7</t>
  </si>
  <si>
    <t>3BG2_61_56</t>
  </si>
  <si>
    <t>1WA5_20_21</t>
  </si>
  <si>
    <t>1W27_21_22</t>
  </si>
  <si>
    <t>1V2Z_1_3</t>
  </si>
  <si>
    <t>1H2V_16_15</t>
  </si>
  <si>
    <t>1F0L_4_5</t>
  </si>
  <si>
    <t>3GG2_2_3</t>
  </si>
  <si>
    <t>1KBL_14_11</t>
  </si>
  <si>
    <t>1AH7_0_7</t>
  </si>
  <si>
    <t>2ZHJ_5_6</t>
  </si>
  <si>
    <t>1Y9I_6_1</t>
  </si>
  <si>
    <t>1MIX_1_2</t>
  </si>
  <si>
    <t>2OX6_1_2</t>
  </si>
  <si>
    <t>1AK0_4_0</t>
  </si>
  <si>
    <t>1F0L_5_1</t>
  </si>
  <si>
    <t>1AK0_6_0</t>
  </si>
  <si>
    <t>2WY4_3_5</t>
  </si>
  <si>
    <t>1PSR_0_5</t>
  </si>
  <si>
    <t>1OZH_11_2</t>
  </si>
  <si>
    <t>1N62_9_10</t>
  </si>
  <si>
    <t>2H8O_7_2</t>
  </si>
  <si>
    <t>1H2V_0_2</t>
  </si>
  <si>
    <t>1KP8_57_46</t>
  </si>
  <si>
    <t>2QIS_7_2</t>
  </si>
  <si>
    <t>1LJ8_7_8</t>
  </si>
  <si>
    <t>2DSJ_6_7</t>
  </si>
  <si>
    <t>2BK5_5_0</t>
  </si>
  <si>
    <t>1GTE_22_18</t>
  </si>
  <si>
    <t>1KHD_2_0</t>
  </si>
  <si>
    <t>2OEB_3_1</t>
  </si>
  <si>
    <t>1I36_3_12</t>
  </si>
  <si>
    <t>1D2T_22_20</t>
  </si>
  <si>
    <t>1BGV_5_6</t>
  </si>
  <si>
    <t>1WER_1_3</t>
  </si>
  <si>
    <t>1FNN_1_0</t>
  </si>
  <si>
    <t>2PV4_2_0</t>
  </si>
  <si>
    <t>1PO5_8_1</t>
  </si>
  <si>
    <t>3D3B_0_2</t>
  </si>
  <si>
    <t>1OJ7_12_11</t>
  </si>
  <si>
    <t>1SQG_0_2</t>
  </si>
  <si>
    <t>1B25_6_9</t>
  </si>
  <si>
    <t>2GRR_3_5</t>
  </si>
  <si>
    <t>2DPM_2_1</t>
  </si>
  <si>
    <t>3K40_21_19</t>
  </si>
  <si>
    <t>1WZD_4_6</t>
  </si>
  <si>
    <t>1M0W_14_15</t>
  </si>
  <si>
    <t>3CA8_4_5</t>
  </si>
  <si>
    <t>2CXN_21_26</t>
  </si>
  <si>
    <t>1LV7_5_4</t>
  </si>
  <si>
    <t>3BJD_8_10</t>
  </si>
  <si>
    <t>1HBN_19_21</t>
  </si>
  <si>
    <t>1MR8_0_5</t>
  </si>
  <si>
    <t>1V2Z_2_0</t>
  </si>
  <si>
    <t>1BGV_24_30</t>
  </si>
  <si>
    <t>2QWO_1_0</t>
  </si>
  <si>
    <t>2DSJ_1_14</t>
  </si>
  <si>
    <t>1N97_9_3</t>
  </si>
  <si>
    <t>2FNA_5_4</t>
  </si>
  <si>
    <t>1MC2_2_0</t>
  </si>
  <si>
    <t>1D2N_1_0</t>
  </si>
  <si>
    <t>3BGE_54_8</t>
  </si>
  <si>
    <t>1U4G_0_1</t>
  </si>
  <si>
    <t>2HKV_0_7</t>
  </si>
  <si>
    <t>1OTK_4_2</t>
  </si>
  <si>
    <t>1M1N_27_26</t>
  </si>
  <si>
    <t>1NVM_32_27</t>
  </si>
  <si>
    <t>2I2O_10_12</t>
  </si>
  <si>
    <t>1HBN_37_35</t>
  </si>
  <si>
    <t>1VKE_30_28</t>
  </si>
  <si>
    <t>1Q8C_0_2</t>
  </si>
  <si>
    <t>1S4K_2_1</t>
  </si>
  <si>
    <t>1HW1_9_8</t>
  </si>
  <si>
    <t>1LFP_2_0</t>
  </si>
  <si>
    <t>1E8Y_8_1</t>
  </si>
  <si>
    <t>1GKM_7_47</t>
  </si>
  <si>
    <t>1ZLJ_2_5</t>
  </si>
  <si>
    <t>1H2V_2_4</t>
  </si>
  <si>
    <t>1XQO_1_7</t>
  </si>
  <si>
    <t>1FC3_11_9</t>
  </si>
  <si>
    <t>1L5O_5_4</t>
  </si>
  <si>
    <t>1RRM_11_10</t>
  </si>
  <si>
    <t>3DHZ_13_11</t>
  </si>
  <si>
    <t>3BG2_47_52</t>
  </si>
  <si>
    <t>2AXQ_7_0</t>
  </si>
  <si>
    <t>1R1H_13_16</t>
  </si>
  <si>
    <t>3BNY_0_1</t>
  </si>
  <si>
    <t>1GBS_0_5</t>
  </si>
  <si>
    <t>1GTE_25_24</t>
  </si>
  <si>
    <t>1NVM_20_21</t>
  </si>
  <si>
    <t>1NVM_19_20</t>
  </si>
  <si>
    <t>1GU9_3_1</t>
  </si>
  <si>
    <t>1GU9_10_11</t>
  </si>
  <si>
    <t>1GWU_5_6</t>
  </si>
  <si>
    <t>2DSJ_22_16</t>
  </si>
  <si>
    <t>1M0W_5_6</t>
  </si>
  <si>
    <t>1XSZ_2_3</t>
  </si>
  <si>
    <t>1H2V_12_10</t>
  </si>
  <si>
    <t>2HYT_11_4</t>
  </si>
  <si>
    <t>1H2V_11_13</t>
  </si>
  <si>
    <t>1SU8_13_9</t>
  </si>
  <si>
    <t>1QZM_0_2</t>
  </si>
  <si>
    <t>1J09_4_5</t>
  </si>
  <si>
    <t>1UW4_3_5</t>
  </si>
  <si>
    <t>1LS1_4_5</t>
  </si>
  <si>
    <t>1OWL_1_2</t>
  </si>
  <si>
    <t>1PQ1_5_2</t>
  </si>
  <si>
    <t>1LSH_16_14</t>
  </si>
  <si>
    <t>1LV7_2_3</t>
  </si>
  <si>
    <t>2QEE_11_21</t>
  </si>
  <si>
    <t>1NP7_1_2</t>
  </si>
  <si>
    <t>1QMG_5_9</t>
  </si>
  <si>
    <t>2I2O_2_4</t>
  </si>
  <si>
    <t>2P3Y_6_3</t>
  </si>
  <si>
    <t>2PQ7_3_4</t>
  </si>
  <si>
    <t>2W72_11_1</t>
  </si>
  <si>
    <t>2OOC_0_3</t>
  </si>
  <si>
    <t>1HW1_10_13</t>
  </si>
  <si>
    <t>1I36_13_11</t>
  </si>
  <si>
    <t>1MTY_29_12</t>
  </si>
  <si>
    <t>1N40_3_4</t>
  </si>
  <si>
    <t>3B5O_1_5</t>
  </si>
  <si>
    <t>2FBA_3_2</t>
  </si>
  <si>
    <t>1GKM_5_7</t>
  </si>
  <si>
    <t>2V2P_3_2</t>
  </si>
  <si>
    <t>1W27_5_7</t>
  </si>
  <si>
    <t>1IO1_0_2</t>
  </si>
  <si>
    <t>1HF8_4_5</t>
  </si>
  <si>
    <t>1EER_2_1</t>
  </si>
  <si>
    <t>2ZQM_0_1</t>
  </si>
  <si>
    <t>1JNR_10_11</t>
  </si>
  <si>
    <t>2QUP_1_0</t>
  </si>
  <si>
    <t>2A0B_2_0</t>
  </si>
  <si>
    <t>2UXW_9_10</t>
  </si>
  <si>
    <t>2GYQ_1_0</t>
  </si>
  <si>
    <t>1EZ3_2_1</t>
  </si>
  <si>
    <t>3CKC_3_2</t>
  </si>
  <si>
    <t>2NNU_0_1</t>
  </si>
  <si>
    <t>2QIS_4_17</t>
  </si>
  <si>
    <t>1EZ3_0_1</t>
  </si>
  <si>
    <t>2O36_7_5</t>
  </si>
  <si>
    <t>2GYQ_5_8</t>
  </si>
  <si>
    <t>5CSM_7_5</t>
  </si>
  <si>
    <t>1ALU_1_4</t>
  </si>
  <si>
    <t>1W27_25_26</t>
  </si>
  <si>
    <t>1TQG_1_0</t>
  </si>
  <si>
    <t>1JM0_1_3</t>
  </si>
  <si>
    <t>2OU3_7_3</t>
  </si>
  <si>
    <t>1MXR_13_10</t>
  </si>
  <si>
    <t>1Q08_5_2</t>
  </si>
  <si>
    <t>1PI1_3_0</t>
  </si>
  <si>
    <t>1M5I_0_2</t>
  </si>
  <si>
    <t>3FX7_1_3</t>
  </si>
  <si>
    <t>2UXW_6_5</t>
  </si>
  <si>
    <t>3BT5_2_0</t>
  </si>
  <si>
    <t>1Z0P_3_2</t>
  </si>
  <si>
    <t>1Z72_1_0</t>
  </si>
  <si>
    <t>1XLY_7_6</t>
  </si>
  <si>
    <t>1W07_21_20</t>
  </si>
  <si>
    <t>1SYY_6_2</t>
  </si>
  <si>
    <t>1EER_3_1</t>
  </si>
  <si>
    <t>1HN0_7_8</t>
  </si>
  <si>
    <t>1XLY_6_5</t>
  </si>
  <si>
    <t>2PTR_21_20</t>
  </si>
  <si>
    <t>1LKI_3_1</t>
  </si>
  <si>
    <t>1U8V_28_27</t>
  </si>
  <si>
    <t>1JIG_38_39</t>
  </si>
  <si>
    <t>3BQO_1_2</t>
  </si>
  <si>
    <t>2E0A_7_8</t>
  </si>
  <si>
    <t>1PI1_0_1</t>
  </si>
  <si>
    <t>1WA5_23_22</t>
  </si>
  <si>
    <t>3CI3_14_11</t>
  </si>
  <si>
    <t>1NTY_3_0</t>
  </si>
  <si>
    <t>1HUW_5_7</t>
  </si>
  <si>
    <t>2ZWU_3_4</t>
  </si>
  <si>
    <t>1BGC_3_0</t>
  </si>
  <si>
    <t>1WA5_9_8</t>
  </si>
  <si>
    <t>1KP8_60_58</t>
  </si>
  <si>
    <t>2E0A_3_2</t>
  </si>
  <si>
    <t>1OJ7_14_15</t>
  </si>
  <si>
    <t>1K7W_7_6</t>
  </si>
  <si>
    <t>2GZ6_6_5</t>
  </si>
  <si>
    <t>1ALU_2_1</t>
  </si>
  <si>
    <t>1XLY_5_8</t>
  </si>
  <si>
    <t>2QNL_2_0</t>
  </si>
  <si>
    <t>1VLS_3_0</t>
  </si>
  <si>
    <t>1SU8_3_5</t>
  </si>
  <si>
    <t>3FX7_2_0</t>
  </si>
  <si>
    <t>2E0A_7_11</t>
  </si>
  <si>
    <t>1OTK_6_13</t>
  </si>
  <si>
    <t>1HF8_6_5</t>
  </si>
  <si>
    <t>1VL2_29_28</t>
  </si>
  <si>
    <t>2P0N_1_2</t>
  </si>
  <si>
    <t>1HZ4_10_9</t>
  </si>
  <si>
    <t>2INC_4_8</t>
  </si>
  <si>
    <t>1D9C_2_1</t>
  </si>
  <si>
    <t>3FAP_0_3</t>
  </si>
  <si>
    <t>3BYV_2_3</t>
  </si>
  <si>
    <t>1PI1_3_2</t>
  </si>
  <si>
    <t>2FBA_5_4</t>
  </si>
  <si>
    <t>1G9G_8_7</t>
  </si>
  <si>
    <t>1KS8_3_2</t>
  </si>
  <si>
    <t>1SYY_14_10</t>
  </si>
  <si>
    <t>1S9U_4_0</t>
  </si>
  <si>
    <t>2HSB_2_3</t>
  </si>
  <si>
    <t>1IOM_10_3</t>
  </si>
  <si>
    <t>2GZ6_3_2</t>
  </si>
  <si>
    <t>2RCC_12_9</t>
  </si>
  <si>
    <t>2I2O_13_12</t>
  </si>
  <si>
    <t>1QAZ_6_5</t>
  </si>
  <si>
    <t>2GZ6_18_19</t>
  </si>
  <si>
    <t>1G9G_1_0</t>
  </si>
  <si>
    <t>1QQF_6_5</t>
  </si>
  <si>
    <t>2WVX_3_2</t>
  </si>
  <si>
    <t>1CLC_3_2</t>
  </si>
  <si>
    <t>1WA5_8_7</t>
  </si>
  <si>
    <t>1KWF_0_1</t>
  </si>
  <si>
    <t>1WA5_34_33</t>
  </si>
  <si>
    <t>2QGM_3_2</t>
  </si>
  <si>
    <t>1H2V_4_3</t>
  </si>
  <si>
    <t>2RLD_0_3</t>
  </si>
  <si>
    <t>1CLC_4_5</t>
  </si>
  <si>
    <t>1HN0_7_6</t>
  </si>
  <si>
    <t>1B9M_3_2</t>
  </si>
  <si>
    <t>3C18_8_2</t>
  </si>
  <si>
    <t>3BHQ_8_10</t>
  </si>
  <si>
    <t>2SQC_20_19</t>
  </si>
  <si>
    <t>1KWF_2_3</t>
  </si>
  <si>
    <t>1H12_2_3</t>
  </si>
  <si>
    <t>1WZD_4_1</t>
  </si>
  <si>
    <t>1NZE_3_0</t>
  </si>
  <si>
    <t>1WA5_41_40</t>
  </si>
  <si>
    <t>1CPQ_3_0</t>
  </si>
  <si>
    <t>1WZD_5_4</t>
  </si>
  <si>
    <t>1YAR_191_189</t>
  </si>
  <si>
    <t>j</t>
  </si>
  <si>
    <t>1YAR_73_71</t>
  </si>
  <si>
    <t>2ILK_9_1</t>
  </si>
  <si>
    <t>2UXW_17_20</t>
  </si>
  <si>
    <t>2AHF_0_11</t>
  </si>
  <si>
    <t>1RWH_3_4</t>
  </si>
  <si>
    <t>1WA5_44_43</t>
  </si>
  <si>
    <t>2V6K_4_5</t>
  </si>
  <si>
    <t>1H12_6_5</t>
  </si>
  <si>
    <t>1OTK_9_7</t>
  </si>
  <si>
    <t>2PVQ_4_3</t>
  </si>
  <si>
    <t>2OC5_3_0</t>
  </si>
  <si>
    <t>1N7O_3_4</t>
  </si>
  <si>
    <t>2C3N_5_4</t>
  </si>
  <si>
    <t>2WB9_4_3</t>
  </si>
  <si>
    <t>1QQF_1_2</t>
  </si>
  <si>
    <t>2C4J_3_4</t>
  </si>
  <si>
    <t>2D48_1_3</t>
  </si>
  <si>
    <t>1W27_0_5</t>
  </si>
  <si>
    <t>1U4G_4_2</t>
  </si>
  <si>
    <t>2AHF_7_6</t>
  </si>
  <si>
    <t>1CB8_8_9</t>
  </si>
  <si>
    <t>1Z72_9_7</t>
  </si>
  <si>
    <t>2FBA_8_7</t>
  </si>
  <si>
    <t>2QIB_13_6</t>
  </si>
  <si>
    <t>1H2V_7_6</t>
  </si>
  <si>
    <t>1WA5_26_25</t>
  </si>
  <si>
    <t>2P0N_1_0</t>
  </si>
  <si>
    <t>1X9D_10_11</t>
  </si>
  <si>
    <t>2ILK_7_6</t>
  </si>
  <si>
    <t>1H4R_1_2</t>
  </si>
  <si>
    <t>1CLC_10_9</t>
  </si>
  <si>
    <t>1WA5_24_25</t>
  </si>
  <si>
    <t>2BT2_3_4</t>
  </si>
  <si>
    <t>1CSH_10_9</t>
  </si>
  <si>
    <t>2RCC_5_0</t>
  </si>
  <si>
    <t>3DHZ_6_1</t>
  </si>
  <si>
    <t>1PSR_0_3</t>
  </si>
  <si>
    <t>1D9C_7_5</t>
  </si>
  <si>
    <t>1WA5_46_45</t>
  </si>
  <si>
    <t>1XNF_13_12</t>
  </si>
  <si>
    <t>2RCC_6_1</t>
  </si>
  <si>
    <t>3BJD_19_15</t>
  </si>
  <si>
    <t>1LSH_15_14</t>
  </si>
  <si>
    <t>1GXM_2_1</t>
  </si>
  <si>
    <t>1QQF_9_8</t>
  </si>
  <si>
    <t>1WOL_3_2</t>
  </si>
  <si>
    <t>2FBA_1_0</t>
  </si>
  <si>
    <t>1GXM_4_3</t>
  </si>
  <si>
    <t>2SQC_16_15</t>
  </si>
  <si>
    <t>2SQC_14_13</t>
  </si>
  <si>
    <t>2SQC_12_11</t>
  </si>
  <si>
    <t>2SQC_8_7</t>
  </si>
  <si>
    <t>1H12_0_1</t>
  </si>
  <si>
    <t>2FEF_9_12</t>
  </si>
  <si>
    <t>3ELK_3_2</t>
  </si>
  <si>
    <t>2H6F_18_17</t>
  </si>
  <si>
    <t>1J5W_2_8</t>
  </si>
  <si>
    <t>2AIB_1_2</t>
  </si>
  <si>
    <t>1LSH_7_6</t>
  </si>
  <si>
    <t>3FP5_4_3</t>
  </si>
  <si>
    <t>1PMI_2_1</t>
  </si>
  <si>
    <t>2PN0_2_1</t>
  </si>
  <si>
    <t>2D5B_0_10</t>
  </si>
  <si>
    <t>2H6F_16_25</t>
  </si>
  <si>
    <t>2O5H_0_4</t>
  </si>
  <si>
    <t>1N7S_1_3</t>
  </si>
  <si>
    <t>1W27_8_5</t>
  </si>
  <si>
    <t>1K7W_40_38</t>
  </si>
  <si>
    <t>2IJQ_2_4</t>
  </si>
  <si>
    <t>1JY2_4_5</t>
  </si>
  <si>
    <t>1WUI_5_9</t>
  </si>
  <si>
    <t>1YAR_83_80</t>
  </si>
  <si>
    <t>1BGC_2_3</t>
  </si>
  <si>
    <t>2RLD_8_10</t>
  </si>
  <si>
    <t>1C3C_3_6</t>
  </si>
  <si>
    <t>1YDI_1_3</t>
  </si>
  <si>
    <t>1N7S_0_2</t>
  </si>
  <si>
    <t>2PTR_7_4</t>
  </si>
  <si>
    <t>1QOY_4_1</t>
  </si>
  <si>
    <t>1VDK_15_12</t>
  </si>
  <si>
    <t>2RKL_3_0</t>
  </si>
  <si>
    <t>1NIG_3_0</t>
  </si>
  <si>
    <t>1GS9_2_0</t>
  </si>
  <si>
    <t>1HF8_5_3</t>
  </si>
  <si>
    <t>2IB0_2_1</t>
  </si>
  <si>
    <t>1MTY_14_11</t>
  </si>
  <si>
    <t>1KS8_5_1</t>
  </si>
  <si>
    <t>1NKD_0_3</t>
  </si>
  <si>
    <t>1JIG_2_1</t>
  </si>
  <si>
    <t>1OTK_1_2</t>
  </si>
  <si>
    <t>1K04_5_7</t>
  </si>
  <si>
    <t>1F1M_7_5</t>
  </si>
  <si>
    <t>3CI3_5_9</t>
  </si>
  <si>
    <t>2E0A_7_9</t>
  </si>
  <si>
    <t>1O9R_16_19</t>
  </si>
  <si>
    <t>1DOW_2_0</t>
  </si>
  <si>
    <t>1ELW_3_5</t>
  </si>
  <si>
    <t>2E0A_0_2</t>
  </si>
  <si>
    <t>1CLC_5_1</t>
  </si>
  <si>
    <t>2J8W_5_7</t>
  </si>
  <si>
    <t>1C02_2_4</t>
  </si>
  <si>
    <t>2A0B_1_2</t>
  </si>
  <si>
    <t>1NC5_7_11</t>
  </si>
  <si>
    <t>1G9G_3_6</t>
  </si>
  <si>
    <t>2RLD_17_19</t>
  </si>
  <si>
    <t>1TQG_1_3</t>
  </si>
  <si>
    <t>2EU9_4_1</t>
  </si>
  <si>
    <t>2OC5_0_4</t>
  </si>
  <si>
    <t>1CPQ_2_0</t>
  </si>
  <si>
    <t>1YLM_1_3</t>
  </si>
  <si>
    <t>1HUW_4_5</t>
  </si>
  <si>
    <t>1YDI_4_6</t>
  </si>
  <si>
    <t>1LKO_0_3</t>
  </si>
  <si>
    <t>1SYY_1_6</t>
  </si>
  <si>
    <t>1EER_2_3</t>
  </si>
  <si>
    <t>1T6U_19_17</t>
  </si>
  <si>
    <t>1OXJ_3_1</t>
  </si>
  <si>
    <t>2IB0_4_7</t>
  </si>
  <si>
    <t>1LKI_0_1</t>
  </si>
  <si>
    <t>2OOC_3_1</t>
  </si>
  <si>
    <t>2IM8_3_1</t>
  </si>
  <si>
    <t>1SVM_68_63</t>
  </si>
  <si>
    <t>2FL4_0_2</t>
  </si>
  <si>
    <t>1CSH_2_19</t>
  </si>
  <si>
    <t>3BT5_2_1</t>
  </si>
  <si>
    <t>1IOM_1_17</t>
  </si>
  <si>
    <t>1HUW_7_6</t>
  </si>
  <si>
    <t>3BT5_0_3</t>
  </si>
  <si>
    <t>1F1M_6_4</t>
  </si>
  <si>
    <t>1NFV_40_43</t>
  </si>
  <si>
    <t>K</t>
  </si>
  <si>
    <t>1LKO_2_1</t>
  </si>
  <si>
    <t>1O9I_3_2</t>
  </si>
  <si>
    <t>1W07_10_12</t>
  </si>
  <si>
    <t>3DHZ_1_7</t>
  </si>
  <si>
    <t>1NFV_6_5</t>
  </si>
  <si>
    <t>2O02_2_4</t>
  </si>
  <si>
    <t>1QAZ_2_6</t>
  </si>
  <si>
    <t>1MXR_9_13</t>
  </si>
  <si>
    <t>2H6F_12_14</t>
  </si>
  <si>
    <t>2IJQ_2_0</t>
  </si>
  <si>
    <t>2GYQ_5_9</t>
  </si>
  <si>
    <t>2D48_2_3</t>
  </si>
  <si>
    <t>1OTK_3_0</t>
  </si>
  <si>
    <t>1NC5_8_6</t>
  </si>
  <si>
    <t>1JIG_36_39</t>
  </si>
  <si>
    <t>1MTY_29_11</t>
  </si>
  <si>
    <t>1KS8_1_9</t>
  </si>
  <si>
    <t>1CLC_4_2</t>
  </si>
  <si>
    <t>2R7D_4_3</t>
  </si>
  <si>
    <t>1SVS_1_3</t>
  </si>
  <si>
    <t>2INC_2_15</t>
  </si>
  <si>
    <t>2INC_16_1</t>
  </si>
  <si>
    <t>2GZ6_10_8</t>
  </si>
  <si>
    <t>1QAZ_5_3</t>
  </si>
  <si>
    <t>2FEF_11_9</t>
  </si>
  <si>
    <t>3DLQ_2_4</t>
  </si>
  <si>
    <t>1M48_1_0</t>
  </si>
  <si>
    <t>2Q52_0_2</t>
  </si>
  <si>
    <t>1CPQ_1_3</t>
  </si>
  <si>
    <t>3BJD_4_16</t>
  </si>
  <si>
    <t>1T6U_4_6</t>
  </si>
  <si>
    <t>1DK8_4_2</t>
  </si>
  <si>
    <t>2QSB_1_0</t>
  </si>
  <si>
    <t>1RT8_7_8</t>
  </si>
  <si>
    <t>2QLU_4_1</t>
  </si>
  <si>
    <t>1QHD_1_2</t>
  </si>
  <si>
    <t>3CKC_10_9</t>
  </si>
  <si>
    <t>1G8M_11_1</t>
  </si>
  <si>
    <t>1G9G_0_9</t>
  </si>
  <si>
    <t>2AHF_8_6</t>
  </si>
  <si>
    <t>1NC5_2_0</t>
  </si>
  <si>
    <t>1H12_2_4</t>
  </si>
  <si>
    <t>3B5O_5_2</t>
  </si>
  <si>
    <t>1RT8_1_2</t>
  </si>
  <si>
    <t>2AHF_8_10</t>
  </si>
  <si>
    <t>1QSA_14_13</t>
  </si>
  <si>
    <t>1XNF_0_2</t>
  </si>
  <si>
    <t>1VIN_6_2</t>
  </si>
  <si>
    <t>2GZ6_6_8</t>
  </si>
  <si>
    <t>2I6H_2_4</t>
  </si>
  <si>
    <t>2BT2_5_3</t>
  </si>
  <si>
    <t>2QGM_3_1</t>
  </si>
  <si>
    <t>1R1H_13_18</t>
  </si>
  <si>
    <t>1XG0_7_6</t>
  </si>
  <si>
    <t>1AE9_10_13</t>
  </si>
  <si>
    <t>1Q8C_2_3</t>
  </si>
  <si>
    <t>2GZ4_0_2</t>
  </si>
  <si>
    <t>2GDM_2_5</t>
  </si>
  <si>
    <t>2O36_8_9</t>
  </si>
  <si>
    <t>2RFQ_5_29</t>
  </si>
  <si>
    <t>1AH7_3_0</t>
  </si>
  <si>
    <t>2P54_2_3</t>
  </si>
  <si>
    <t>3BDZ_5_6</t>
  </si>
  <si>
    <t>1FCY_1_2</t>
  </si>
  <si>
    <t>1IO7_2_3</t>
  </si>
  <si>
    <t>1IE9_1_2</t>
  </si>
  <si>
    <t>1K8K_10_9</t>
  </si>
  <si>
    <t>1YMT_1_2</t>
  </si>
  <si>
    <t>1NQ7_1_2</t>
  </si>
  <si>
    <t>2E2R_7_11</t>
  </si>
  <si>
    <t>2OUF_6_1</t>
  </si>
  <si>
    <t>1T7R_1_5</t>
  </si>
  <si>
    <t>1YMT_2_6</t>
  </si>
  <si>
    <t>1B25_18_16</t>
  </si>
  <si>
    <t>1KQ3_6_9</t>
  </si>
  <si>
    <t>1N5U_16_14</t>
  </si>
  <si>
    <t>1IOM_10_11</t>
  </si>
  <si>
    <t>1N5U_7_11</t>
  </si>
  <si>
    <t>1K7W_13_12</t>
  </si>
  <si>
    <t>2OUF_7_1</t>
  </si>
  <si>
    <t>1C3C_0_3</t>
  </si>
  <si>
    <t>1K8K_16_17</t>
  </si>
  <si>
    <t>1BSM_15_0</t>
  </si>
  <si>
    <t>1N97_7_6</t>
  </si>
  <si>
    <t>1N40_4_5</t>
  </si>
  <si>
    <t>2R4F_5_7</t>
  </si>
  <si>
    <t>2RAS_1_0</t>
  </si>
  <si>
    <t>1PO5_8_10</t>
  </si>
  <si>
    <t>1VDK_9_12</t>
  </si>
  <si>
    <t>1Q1F_1_2</t>
  </si>
  <si>
    <t>2WY4_1_2</t>
  </si>
  <si>
    <t>1J09_9_8</t>
  </si>
  <si>
    <t>2PTR_0_4</t>
  </si>
  <si>
    <t>1QQ5_1_2</t>
  </si>
  <si>
    <t>1FCY_2_6</t>
  </si>
  <si>
    <t>2P54_3_7</t>
  </si>
  <si>
    <t>1NQ7_2_6</t>
  </si>
  <si>
    <t>1SQG_3_2</t>
  </si>
  <si>
    <t>2IJ2_8_6</t>
  </si>
  <si>
    <t>1U4G_5_4</t>
  </si>
  <si>
    <t>2CIB_7_5</t>
  </si>
  <si>
    <t>1XJU_1_0</t>
  </si>
  <si>
    <t>1D2N_46_8</t>
  </si>
  <si>
    <t>3D3B_3_2</t>
  </si>
  <si>
    <t>1K8K_4_3</t>
  </si>
  <si>
    <t>1Y9I_23_27</t>
  </si>
  <si>
    <t>1DJ8_2_3</t>
  </si>
  <si>
    <t>3CJW_2_1</t>
  </si>
  <si>
    <t>1PO5_3_4</t>
  </si>
  <si>
    <t>1FC3_4_7</t>
  </si>
  <si>
    <t>2WVX_1_0</t>
  </si>
  <si>
    <t>1N40_5_6</t>
  </si>
  <si>
    <t>1Q5D_6_5</t>
  </si>
  <si>
    <t>1IO7_4_3</t>
  </si>
  <si>
    <t>1JFB_6_7</t>
  </si>
  <si>
    <t>1S1F_7_6</t>
  </si>
  <si>
    <t>3BDZ_7_6</t>
  </si>
  <si>
    <t>1SX7_1_2</t>
  </si>
  <si>
    <t>1N97_8_7</t>
  </si>
  <si>
    <t>2INC_41_14</t>
  </si>
  <si>
    <t>1EG3_4_7</t>
  </si>
  <si>
    <t>2YVE_8_9</t>
  </si>
  <si>
    <t>2NNU_2_3</t>
  </si>
  <si>
    <t>1N5U_0_5</t>
  </si>
  <si>
    <t>1F0Y_4_0</t>
  </si>
  <si>
    <t>1F0Y_10_8</t>
  </si>
  <si>
    <t>3G46_1_2</t>
  </si>
  <si>
    <t>1IE9_2_6</t>
  </si>
  <si>
    <t>2H2Z_0_3</t>
  </si>
  <si>
    <t>2WB0_1_2</t>
  </si>
  <si>
    <t>3BGE_11_54</t>
  </si>
  <si>
    <t>1GAK_0_2</t>
  </si>
  <si>
    <t>1YAR_67_186</t>
  </si>
  <si>
    <t>i</t>
  </si>
  <si>
    <t>2IN3_2_5</t>
  </si>
  <si>
    <t>2CIB_4_5</t>
  </si>
  <si>
    <t>3BDZ_7_8</t>
  </si>
  <si>
    <t>1IO7_5_4</t>
  </si>
  <si>
    <t>1SQG_3_0</t>
  </si>
  <si>
    <t>2IJ2_9_8</t>
  </si>
  <si>
    <t>2QIS_0_2</t>
  </si>
  <si>
    <t>2CXN_16_21</t>
  </si>
  <si>
    <t>1Y0N_1_0</t>
  </si>
  <si>
    <t>2HHP_5_6</t>
  </si>
  <si>
    <t>1TAF_0_1</t>
  </si>
  <si>
    <t>1IOM_9_6</t>
  </si>
  <si>
    <t>2H8O_0_2</t>
  </si>
  <si>
    <t>2CIB_2_3</t>
  </si>
  <si>
    <t>1J09_4_2</t>
  </si>
  <si>
    <t>1KHD_19_13</t>
  </si>
  <si>
    <t>1MBA_2_5</t>
  </si>
  <si>
    <t>2HHP_7_0</t>
  </si>
  <si>
    <t>1N3L_2_4</t>
  </si>
  <si>
    <t>3A04_3_5</t>
  </si>
  <si>
    <t>2EV0_11_4</t>
  </si>
  <si>
    <t>1SVM_3_1</t>
  </si>
  <si>
    <t>3ED5_2_3</t>
  </si>
  <si>
    <t>2I7D_4_3</t>
  </si>
  <si>
    <t>2H6F_15_24</t>
  </si>
  <si>
    <t>2PV7_6_13</t>
  </si>
  <si>
    <t>1F5N_6_10</t>
  </si>
  <si>
    <t>1C1K_1_0</t>
  </si>
  <si>
    <t>2DSJ_15_13</t>
  </si>
  <si>
    <t>1Q5D_2_7</t>
  </si>
  <si>
    <t>1MXR_4_6</t>
  </si>
  <si>
    <t>2ZWU_1_8</t>
  </si>
  <si>
    <t>1P7T_7_6</t>
  </si>
  <si>
    <t>2IJ2_2_9</t>
  </si>
  <si>
    <t>1A76_2_1</t>
  </si>
  <si>
    <t>1OZH_46_42</t>
  </si>
  <si>
    <t>3EUP_7_8</t>
  </si>
  <si>
    <t>3BPJ_1_5</t>
  </si>
  <si>
    <t>1H2V_18_19</t>
  </si>
  <si>
    <t>1XLY_2_7</t>
  </si>
  <si>
    <t>1PQ1_2_4</t>
  </si>
  <si>
    <t>2ZWU_8_6</t>
  </si>
  <si>
    <t>2H8O_4_15</t>
  </si>
  <si>
    <t>1JFB_8_6</t>
  </si>
  <si>
    <t>1F5N_5_7</t>
  </si>
  <si>
    <t>1SYY_4_7</t>
  </si>
  <si>
    <t>3HJE_12_11</t>
  </si>
  <si>
    <t>2UXW_13_14</t>
  </si>
  <si>
    <t>3B7N_4_5</t>
  </si>
  <si>
    <t>1SQG_5_3</t>
  </si>
  <si>
    <t>3D3B_3_5</t>
  </si>
  <si>
    <t>1LSH_15_13</t>
  </si>
  <si>
    <t>1WER_5_2</t>
  </si>
  <si>
    <t>1N5U_16_13</t>
  </si>
  <si>
    <t>1E8Y_1_6</t>
  </si>
  <si>
    <t>3F6F_4_6</t>
  </si>
  <si>
    <t>1N93_5_2</t>
  </si>
  <si>
    <t>3HLX_12_9</t>
  </si>
  <si>
    <t>1K87_8_7</t>
  </si>
  <si>
    <t>1YBK_0_1</t>
  </si>
  <si>
    <t>3BPJ_0_4</t>
  </si>
  <si>
    <t>1B25_35_33</t>
  </si>
  <si>
    <t>1YOZ_1_3</t>
  </si>
  <si>
    <t>2QFA_2_0</t>
  </si>
  <si>
    <t>2C3N_0_1</t>
  </si>
  <si>
    <t>1SGM_4_2</t>
  </si>
  <si>
    <t>1FPO_5_3</t>
  </si>
  <si>
    <t>3BJD_21_14</t>
  </si>
  <si>
    <t>2FD5_2_5</t>
  </si>
  <si>
    <t>3BNY_8_6</t>
  </si>
  <si>
    <t>3G7R_6_8</t>
  </si>
  <si>
    <t>1YAR_83_73</t>
  </si>
  <si>
    <t>3F6F_0_1</t>
  </si>
  <si>
    <t>1XLY_2_0</t>
  </si>
  <si>
    <t>1N62_8_7</t>
  </si>
  <si>
    <t>2QIS_3_5</t>
  </si>
  <si>
    <t>1KP8_10_8</t>
  </si>
  <si>
    <t>2O36_11_10</t>
  </si>
  <si>
    <t>1M1N_47_48</t>
  </si>
  <si>
    <t>2I2O_4_6</t>
  </si>
  <si>
    <t>1UW4_9_7</t>
  </si>
  <si>
    <t>1MTY_45_47</t>
  </si>
  <si>
    <t>2RCC_11_9</t>
  </si>
  <si>
    <t>1JA1_3_0</t>
  </si>
  <si>
    <t>1MTY_3_1</t>
  </si>
  <si>
    <t>2CXN_26_22</t>
  </si>
  <si>
    <t>1SYY_7_5</t>
  </si>
  <si>
    <t>1E8Y_7_5</t>
  </si>
  <si>
    <t>2ID6_5_2</t>
  </si>
  <si>
    <t>5CSM_8_5</t>
  </si>
  <si>
    <t>2QIB_3_1</t>
  </si>
  <si>
    <t>1MW9_13_2</t>
  </si>
  <si>
    <t>1WA5_41_39</t>
  </si>
  <si>
    <t>1QSA_9_11</t>
  </si>
  <si>
    <t>2QEE_8_7</t>
  </si>
  <si>
    <t>3B5O_1_4</t>
  </si>
  <si>
    <t>3BNY_1_4</t>
  </si>
  <si>
    <t>2JDI_10_11</t>
  </si>
  <si>
    <t>2H6F_8_6</t>
  </si>
  <si>
    <t>1PBW_0_4</t>
  </si>
  <si>
    <t>2H6F_4_6</t>
  </si>
  <si>
    <t>2H6F_2_4</t>
  </si>
  <si>
    <t>1WA5_44_46</t>
  </si>
  <si>
    <t>1K87_9_10</t>
  </si>
  <si>
    <t>3DHZ_18_15</t>
  </si>
  <si>
    <t>1H2V_21_19</t>
  </si>
  <si>
    <t>3FWN_24_7</t>
  </si>
  <si>
    <t>1H2V_21_23</t>
  </si>
  <si>
    <t>3FRH_4_2</t>
  </si>
  <si>
    <t>1LTS_3_4</t>
  </si>
  <si>
    <t>3B5O_7_0</t>
  </si>
  <si>
    <t>1KHD_13_17</t>
  </si>
  <si>
    <t>1WA5_45_43</t>
  </si>
  <si>
    <t>1UW4_5_7</t>
  </si>
  <si>
    <t>3GVO_8_6</t>
  </si>
  <si>
    <t>2H6F_12_10</t>
  </si>
  <si>
    <t>1M6Y_6_7</t>
  </si>
  <si>
    <t>1MTY_44_42</t>
  </si>
  <si>
    <t>1WA5_24_26</t>
  </si>
  <si>
    <t>1OAI_0_1</t>
  </si>
  <si>
    <t>1OWL_4_3</t>
  </si>
  <si>
    <t>1UW4_3_1</t>
  </si>
  <si>
    <t>1XNF_21_15</t>
  </si>
  <si>
    <t>2Q9R_0_6</t>
  </si>
  <si>
    <t>2H6F_8_10</t>
  </si>
  <si>
    <t>2QZC_10_8</t>
  </si>
  <si>
    <t>3GVO_6_5</t>
  </si>
  <si>
    <t>3BNY_7_8</t>
  </si>
  <si>
    <t>1WA5_51_52</t>
  </si>
  <si>
    <t>2INC_6_1</t>
  </si>
  <si>
    <t>2VKE_3_2</t>
  </si>
  <si>
    <t>2NRL_1_2</t>
  </si>
  <si>
    <t>1IOM_2_11</t>
  </si>
  <si>
    <t>2O57_13_8</t>
  </si>
  <si>
    <t>2OU6_1_3</t>
  </si>
  <si>
    <t>2FBQ_4_2</t>
  </si>
  <si>
    <t>1NP7_4_5</t>
  </si>
  <si>
    <t>1MXR_13_8</t>
  </si>
  <si>
    <t>1MBA_2_3</t>
  </si>
  <si>
    <t>2EBO_5_4</t>
  </si>
  <si>
    <t>1UW4_9_8</t>
  </si>
  <si>
    <t>1ECA_2_3</t>
  </si>
  <si>
    <t>1KP8_28_18</t>
  </si>
  <si>
    <t>2HKV_1_3</t>
  </si>
  <si>
    <t>2H8O_2_10</t>
  </si>
  <si>
    <t>1H97_3_2</t>
  </si>
  <si>
    <t>1C3C_6_4</t>
  </si>
  <si>
    <t>1VLS_1_2</t>
  </si>
  <si>
    <t>1NZY_10_9</t>
  </si>
  <si>
    <t>1IT2_2_3</t>
  </si>
  <si>
    <t>1DOW_6_3</t>
  </si>
  <si>
    <t>2AP3_3_0</t>
  </si>
  <si>
    <t>2INC_14_19</t>
  </si>
  <si>
    <t>2IP1_7_8</t>
  </si>
  <si>
    <t>2IZR_5_4</t>
  </si>
  <si>
    <t>2WTG_3_2</t>
  </si>
  <si>
    <t>2HKV_6_4</t>
  </si>
  <si>
    <t>2OU3_3_7</t>
  </si>
  <si>
    <t>1FPO_3_4</t>
  </si>
  <si>
    <t>1VI0_4_2</t>
  </si>
  <si>
    <t>1CB8_3_4</t>
  </si>
  <si>
    <t>1QOY_4_2</t>
  </si>
  <si>
    <t>2HKV_6_7</t>
  </si>
  <si>
    <t>1AE9_15_16</t>
  </si>
  <si>
    <t>1VLS_0_3</t>
  </si>
  <si>
    <t>2IB0_7_5</t>
  </si>
  <si>
    <t>1L3P_0_3</t>
  </si>
  <si>
    <t>1DF4_2_3</t>
  </si>
  <si>
    <t>2IKB_1_3</t>
  </si>
  <si>
    <t>1SUM_3_2</t>
  </si>
  <si>
    <t>1SUM_0_5</t>
  </si>
  <si>
    <t>1BGC_3_1</t>
  </si>
  <si>
    <t>1C02_9_6</t>
  </si>
  <si>
    <t>2ZHJ_2_9</t>
  </si>
  <si>
    <t>3A04_6_7</t>
  </si>
  <si>
    <t>2C4J_8_9</t>
  </si>
  <si>
    <t>1O9R_9_11</t>
  </si>
  <si>
    <t>1K7W_38_37</t>
  </si>
  <si>
    <t>2I2O_1_2</t>
  </si>
  <si>
    <t>1LTZ_3_4</t>
  </si>
  <si>
    <t>2QSA_1_0</t>
  </si>
  <si>
    <t>2IA1_5_4</t>
  </si>
  <si>
    <t>1O9I_7_9</t>
  </si>
  <si>
    <t>1R0D_3_2</t>
  </si>
  <si>
    <t>1NZE_1_2</t>
  </si>
  <si>
    <t>1WUI_9_12</t>
  </si>
  <si>
    <t>3BGE_10_9</t>
  </si>
  <si>
    <t>1KQ3_7_6</t>
  </si>
  <si>
    <t>256B_3_2</t>
  </si>
  <si>
    <t>1GS9_3_0</t>
  </si>
  <si>
    <t>1YYD_6_3</t>
  </si>
  <si>
    <t>1H2V_10_11</t>
  </si>
  <si>
    <t>1NFV_22_20</t>
  </si>
  <si>
    <t>1JIG_7_5</t>
  </si>
  <si>
    <t>2AP3_1_2</t>
  </si>
  <si>
    <t>2CVD_1_2</t>
  </si>
  <si>
    <t>3BVF_10_12</t>
  </si>
  <si>
    <t>1K87_2_5</t>
  </si>
  <si>
    <t>3BT5_1_3</t>
  </si>
  <si>
    <t>3IR4_0_2</t>
  </si>
  <si>
    <t>2GYQ_9_6</t>
  </si>
  <si>
    <t>1M1N_19_20</t>
  </si>
  <si>
    <t>1LKO_3_1</t>
  </si>
  <si>
    <t>2V2P_0_2</t>
  </si>
  <si>
    <t>1NTY_0_3</t>
  </si>
  <si>
    <t>1K04_6_5</t>
  </si>
  <si>
    <t>1QGI_8_6</t>
  </si>
  <si>
    <t>2P54_7_4</t>
  </si>
  <si>
    <t>1UW4_9_10</t>
  </si>
  <si>
    <t>1TFE_7_4</t>
  </si>
  <si>
    <t>2IM8_3_0</t>
  </si>
  <si>
    <t>3BB0_2_3</t>
  </si>
  <si>
    <t>1NFV_55_53</t>
  </si>
  <si>
    <t>3CKC_10_8</t>
  </si>
  <si>
    <t>1JR8_0_1</t>
  </si>
  <si>
    <t>2OH3_0_2</t>
  </si>
  <si>
    <t>1KBL_3_4</t>
  </si>
  <si>
    <t>2H6F_2_3</t>
  </si>
  <si>
    <t>1RRM_15_12</t>
  </si>
  <si>
    <t>1T7R_3_1</t>
  </si>
  <si>
    <t>1MTY_40_39</t>
  </si>
  <si>
    <t>2Q9R_5_6</t>
  </si>
  <si>
    <t>1K8K_24_17</t>
  </si>
  <si>
    <t>1PQ1_4_3</t>
  </si>
  <si>
    <t>1TBF_1_4</t>
  </si>
  <si>
    <t>2QGM_4_5</t>
  </si>
  <si>
    <t>3BQY_3_5</t>
  </si>
  <si>
    <t>1GWU_7_3</t>
  </si>
  <si>
    <t>1E8Y_11_15</t>
  </si>
  <si>
    <t>3BVF_26_1</t>
  </si>
  <si>
    <t>1VLS_0_7</t>
  </si>
  <si>
    <t>3G1M_4_2</t>
  </si>
  <si>
    <t>1MTY_24_19</t>
  </si>
  <si>
    <t>2INC_8_9</t>
  </si>
  <si>
    <t>2QFA_1_2</t>
  </si>
  <si>
    <t>2ILK_9_0</t>
  </si>
  <si>
    <t>3BVF_26_28</t>
  </si>
  <si>
    <t>1U2K_7_3</t>
  </si>
  <si>
    <t>1DD9_5_4</t>
  </si>
  <si>
    <t>1EPW_6_7</t>
  </si>
  <si>
    <t>2C3N_2_4</t>
  </si>
  <si>
    <t>3CWR_11_9</t>
  </si>
  <si>
    <t>1O9I_28_25</t>
  </si>
  <si>
    <t>1MSK_0_2</t>
  </si>
  <si>
    <t>1YYD_0_3</t>
  </si>
  <si>
    <t>2O02_0_12</t>
  </si>
  <si>
    <t>2G7S_0_1</t>
  </si>
  <si>
    <t>2H8O_0_3</t>
  </si>
  <si>
    <t>1W53_0_2</t>
  </si>
  <si>
    <t>1GKM_6_5</t>
  </si>
  <si>
    <t>1YNB_10_0</t>
  </si>
  <si>
    <t>1XWL_6_5</t>
  </si>
  <si>
    <t>2QIS_0_3</t>
  </si>
  <si>
    <t>3G7R_5_6</t>
  </si>
  <si>
    <t>1NQ7_0_5</t>
  </si>
  <si>
    <t>2FD5_0_1</t>
  </si>
  <si>
    <t>2PTR_0_3</t>
  </si>
  <si>
    <t>1VDK_9_11</t>
  </si>
  <si>
    <t>1EPW_2_0</t>
  </si>
  <si>
    <t>1O0W_9_13</t>
  </si>
  <si>
    <t>1I2T_0_2</t>
  </si>
  <si>
    <t>2IJ2_6_4</t>
  </si>
  <si>
    <t>1H2V_9_10</t>
  </si>
  <si>
    <t>1C3C_0_2</t>
  </si>
  <si>
    <t>1HZ4_14_15</t>
  </si>
  <si>
    <t>1R7J_0_1</t>
  </si>
  <si>
    <t>1WPB_28_27</t>
  </si>
  <si>
    <t>2QVO_1_0</t>
  </si>
  <si>
    <t>2HI0_1_0</t>
  </si>
  <si>
    <t>2GNO_6_4</t>
  </si>
  <si>
    <t>1FNN_11_9</t>
  </si>
  <si>
    <t>1SFX_1_2</t>
  </si>
  <si>
    <t>1D3Y_0_2</t>
  </si>
  <si>
    <t>1CS0_59_60</t>
  </si>
  <si>
    <t>1U2K_0_3</t>
  </si>
  <si>
    <t>1UAL_6_7</t>
  </si>
  <si>
    <t>1PBW_6_4</t>
  </si>
  <si>
    <t>5CSM_1_2</t>
  </si>
  <si>
    <t>1VIN_8_7</t>
  </si>
  <si>
    <t>1D2V_8_7</t>
  </si>
  <si>
    <t>1Q4G_2_1</t>
  </si>
  <si>
    <t>1OPC_0_1</t>
  </si>
  <si>
    <t>3G1M_13_5</t>
  </si>
  <si>
    <t>3CJD_0_1</t>
  </si>
  <si>
    <t>1T6S_0_1</t>
  </si>
  <si>
    <t>2H8O_1_4</t>
  </si>
  <si>
    <t>1K8U_0_5</t>
  </si>
  <si>
    <t>2UXW_8_9</t>
  </si>
  <si>
    <t>1ECA_5_3</t>
  </si>
  <si>
    <t>1LJ8_3_2</t>
  </si>
  <si>
    <t>1YNB_11_0</t>
  </si>
  <si>
    <t>1SU8_6_7</t>
  </si>
  <si>
    <t>2QM8_2_4</t>
  </si>
  <si>
    <t>1JHF_0_1</t>
  </si>
  <si>
    <t>3BVX_4_3</t>
  </si>
  <si>
    <t>1MW9_3_10</t>
  </si>
  <si>
    <t>1MW9_8_6</t>
  </si>
  <si>
    <t>2EV0_6_7</t>
  </si>
  <si>
    <t>1Q8C_0_4</t>
  </si>
  <si>
    <t>1PQ1_1_3</t>
  </si>
  <si>
    <t>2GAU_2_1</t>
  </si>
  <si>
    <t>1EPW_8_10</t>
  </si>
  <si>
    <t>1R1H_6_9</t>
  </si>
  <si>
    <t>2NP5_9_3</t>
  </si>
  <si>
    <t>2YVE_13_5</t>
  </si>
  <si>
    <t>1TX4_1_2</t>
  </si>
  <si>
    <t>3F6V_0_1</t>
  </si>
  <si>
    <t>2P5V_7_8</t>
  </si>
  <si>
    <t>1FS1_1_0</t>
  </si>
  <si>
    <t>3G1M_0_1</t>
  </si>
  <si>
    <t>1KP8_156_150</t>
  </si>
  <si>
    <t>3CWR_13_5</t>
  </si>
  <si>
    <t>2ZHJ_3_2</t>
  </si>
  <si>
    <t>1W07_8_10</t>
  </si>
  <si>
    <t>2JDI_17_19</t>
  </si>
  <si>
    <t>3GF3_2_17</t>
  </si>
  <si>
    <t>1T9H_0_3</t>
  </si>
  <si>
    <t>1NG6_3_1</t>
  </si>
  <si>
    <t>2OBP_0_1</t>
  </si>
  <si>
    <t>3BHW_0_2</t>
  </si>
  <si>
    <t>2RCC_2_0</t>
  </si>
  <si>
    <t>1TX4_6_4</t>
  </si>
  <si>
    <t>1KHD_7_8</t>
  </si>
  <si>
    <t>2DSJ_21_22</t>
  </si>
  <si>
    <t>1LWB_2_0</t>
  </si>
  <si>
    <t>3F6O_4_5</t>
  </si>
  <si>
    <t>2IA1_6_7</t>
  </si>
  <si>
    <t>1MW9_8_7</t>
  </si>
  <si>
    <t>1PO5_6_7</t>
  </si>
  <si>
    <t>1QSA_16_0</t>
  </si>
  <si>
    <t>3CEX_0_8</t>
  </si>
  <si>
    <t>2IBD_11_4</t>
  </si>
  <si>
    <t>3I28_9_8</t>
  </si>
  <si>
    <t>2QIB_12_13</t>
  </si>
  <si>
    <t>2VKE_12_4</t>
  </si>
  <si>
    <t>1TAF_1_2</t>
  </si>
  <si>
    <t>1N1J_4_1</t>
  </si>
  <si>
    <t>1Q1F_5_4</t>
  </si>
  <si>
    <t>3BDZ_2_3</t>
  </si>
  <si>
    <t>1AH7_3_7</t>
  </si>
  <si>
    <t>1F0L_5_2</t>
  </si>
  <si>
    <t>2QIW_3_7</t>
  </si>
  <si>
    <t>2GDM_5_4</t>
  </si>
  <si>
    <t>3FWN_4_5</t>
  </si>
  <si>
    <t>1N5U_16_17</t>
  </si>
  <si>
    <t>1N97_4_9</t>
  </si>
  <si>
    <t>1YAR_60_61</t>
  </si>
  <si>
    <t>M</t>
  </si>
  <si>
    <t>3G46_7_10</t>
  </si>
  <si>
    <t>3K40_2_13</t>
  </si>
  <si>
    <t>2JDI_28_27</t>
  </si>
  <si>
    <t>1RKT_1_2</t>
  </si>
  <si>
    <t>1Q8C_3_2</t>
  </si>
  <si>
    <t>1AH7_5_2</t>
  </si>
  <si>
    <t>1AK0_5_2</t>
  </si>
  <si>
    <t>1KP8_146_147</t>
  </si>
  <si>
    <t>1F0Y_5_13</t>
  </si>
  <si>
    <t>1F0L_5_6</t>
  </si>
  <si>
    <t>1IOM_11_5</t>
  </si>
  <si>
    <t>1T5O_7_8</t>
  </si>
  <si>
    <t>3DFG_5_6</t>
  </si>
  <si>
    <t>1PSR_5_2</t>
  </si>
  <si>
    <t>2R7G_2_4</t>
  </si>
  <si>
    <t>1B25_35_34</t>
  </si>
  <si>
    <t>2LIS_2_1</t>
  </si>
  <si>
    <t>1GAK_3_2</t>
  </si>
  <si>
    <t>2PMR_5_1</t>
  </si>
  <si>
    <t>1N62_14_13</t>
  </si>
  <si>
    <t>1L3P_3_2</t>
  </si>
  <si>
    <t>2PV4_1_0</t>
  </si>
  <si>
    <t>1OOH_1_0</t>
  </si>
  <si>
    <t>3FWN_25_4</t>
  </si>
  <si>
    <t>1D2Z_2_1</t>
  </si>
  <si>
    <t>2R4F_6_7</t>
  </si>
  <si>
    <t>1DD9_4_3</t>
  </si>
  <si>
    <t>2V40_2_3</t>
  </si>
  <si>
    <t>1S1F_2_8</t>
  </si>
  <si>
    <t>1F0L_1_6</t>
  </si>
  <si>
    <t>1RRM_13_4</t>
  </si>
  <si>
    <t>1HBN_55_36</t>
  </si>
  <si>
    <t>1E8Y_8_0</t>
  </si>
  <si>
    <t>1XQO_5_2</t>
  </si>
  <si>
    <t>1K8K_19_20</t>
  </si>
  <si>
    <t>3E58_6_5</t>
  </si>
  <si>
    <t>3BGE_4_1</t>
  </si>
  <si>
    <t>1H99_7_6</t>
  </si>
  <si>
    <t>1XQO_6_7</t>
  </si>
  <si>
    <t>1SYY_8_5</t>
  </si>
  <si>
    <t>1HBN_6_9</t>
  </si>
  <si>
    <t>1F1E_0_3</t>
  </si>
  <si>
    <t>1O2D_3_5</t>
  </si>
  <si>
    <t>2IB0_2_7</t>
  </si>
  <si>
    <t>2IM9_1_2</t>
  </si>
  <si>
    <t>1LFP_1_2</t>
  </si>
  <si>
    <t>1GU9_5_6</t>
  </si>
  <si>
    <t>2Q0T_12_13</t>
  </si>
  <si>
    <t>1FIP_3_4</t>
  </si>
  <si>
    <t>2JDI_18_19</t>
  </si>
  <si>
    <t>2ZIN_7_5</t>
  </si>
  <si>
    <t>1H3F_5_6</t>
  </si>
  <si>
    <t>2R44_1_0</t>
  </si>
  <si>
    <t>1VKE_18_19</t>
  </si>
  <si>
    <t>2JDI_13_14</t>
  </si>
  <si>
    <t>1XSZ_1_2</t>
  </si>
  <si>
    <t>1O2D_6_5</t>
  </si>
  <si>
    <t>1YAR_33_34</t>
  </si>
  <si>
    <t>3E2O_0_2</t>
  </si>
  <si>
    <t>1TA8_2_5</t>
  </si>
  <si>
    <t>1P7T_9_8</t>
  </si>
  <si>
    <t>3DV9_0_1</t>
  </si>
  <si>
    <t>1W27_12_13</t>
  </si>
  <si>
    <t>1WER_6_5</t>
  </si>
  <si>
    <t>2ID6_1_2</t>
  </si>
  <si>
    <t>3BGE_3_10</t>
  </si>
  <si>
    <t>3CZ1_7_6</t>
  </si>
  <si>
    <t>3HLX_6_0</t>
  </si>
  <si>
    <t>1K8K_17_23</t>
  </si>
  <si>
    <t>2O5H_4_6</t>
  </si>
  <si>
    <t>1PQ1_1_0</t>
  </si>
  <si>
    <t>2C0G_3_5</t>
  </si>
  <si>
    <t>1N40_5_7</t>
  </si>
  <si>
    <t>1S1F_6_8</t>
  </si>
  <si>
    <t>1PQ1_3_0</t>
  </si>
  <si>
    <t>1ELK_0_2</t>
  </si>
  <si>
    <t>1H2V_1_3</t>
  </si>
  <si>
    <t>1EYH_0_2</t>
  </si>
  <si>
    <t>1MBA_3_5</t>
  </si>
  <si>
    <t>1XG0_8_7</t>
  </si>
  <si>
    <t>1YMT_3_2</t>
  </si>
  <si>
    <t>1I39_1_2</t>
  </si>
  <si>
    <t>1NFV_32_37</t>
  </si>
  <si>
    <t>2CIB_8_5</t>
  </si>
  <si>
    <t>1F0Y_0_1</t>
  </si>
  <si>
    <t>1QUS_0_4</t>
  </si>
  <si>
    <t>2R7G_7_5</t>
  </si>
  <si>
    <t>1XSZ_5_3</t>
  </si>
  <si>
    <t>2IA1_5_1</t>
  </si>
  <si>
    <t>3D3B_4_0</t>
  </si>
  <si>
    <t>1T6U_1_9</t>
  </si>
  <si>
    <t>2HUE_0_4</t>
  </si>
  <si>
    <t>1OJ7_3_7</t>
  </si>
  <si>
    <t>1Y42_2_1</t>
  </si>
  <si>
    <t>1IE9_2_3</t>
  </si>
  <si>
    <t>1WER_4_7</t>
  </si>
  <si>
    <t>2GMY_14_13</t>
  </si>
  <si>
    <t>3BGE_2_0</t>
  </si>
  <si>
    <t>1HF8_0_2</t>
  </si>
  <si>
    <t>3CA8_1_3</t>
  </si>
  <si>
    <t>3FWN_8_5</t>
  </si>
  <si>
    <t>2FEF_10_19</t>
  </si>
  <si>
    <t>3G1M_5_2</t>
  </si>
  <si>
    <t>1JHG_1_2</t>
  </si>
  <si>
    <t>1XG0_9_6</t>
  </si>
  <si>
    <t>3H9C_0_1</t>
  </si>
  <si>
    <t>1H3N_1_2</t>
  </si>
  <si>
    <t>2D5B_0_1</t>
  </si>
  <si>
    <t>3B5O_5_0</t>
  </si>
  <si>
    <t>1KQ3_7_9</t>
  </si>
  <si>
    <t>1SG6_2_1</t>
  </si>
  <si>
    <t>2O4T_5_0</t>
  </si>
  <si>
    <t>3CJW_2_3</t>
  </si>
  <si>
    <t>2OY9_2_0</t>
  </si>
  <si>
    <t>1N62_0_1</t>
  </si>
  <si>
    <t>3B40_5_6</t>
  </si>
  <si>
    <t>1KGS_1_0</t>
  </si>
  <si>
    <t>1M1N_47_50</t>
  </si>
  <si>
    <t>2JDI_39_40</t>
  </si>
  <si>
    <t>1LS1_6_7</t>
  </si>
  <si>
    <t>2W72_5_7</t>
  </si>
  <si>
    <t>1LS1_7_8</t>
  </si>
  <si>
    <t>1RDQ_0_2</t>
  </si>
  <si>
    <t>1M1N_6_4</t>
  </si>
  <si>
    <t>2CVD_1_6</t>
  </si>
  <si>
    <t>1N62_2_3</t>
  </si>
  <si>
    <t>1TAF_2_0</t>
  </si>
  <si>
    <t>1N8V_1_0</t>
  </si>
  <si>
    <t>1NP7_7_9</t>
  </si>
  <si>
    <t>1O2D_3_6</t>
  </si>
  <si>
    <t>2NR7_0_2</t>
  </si>
  <si>
    <t>2EW2_3_1</t>
  </si>
  <si>
    <t>3HJE_2_3</t>
  </si>
  <si>
    <t>3FWN_9_8</t>
  </si>
  <si>
    <t>1PO5_6_8</t>
  </si>
  <si>
    <t>1K94_2_5</t>
  </si>
  <si>
    <t>1K94_8_11</t>
  </si>
  <si>
    <t>2IJ2_5_6</t>
  </si>
  <si>
    <t>2E2R_6_7</t>
  </si>
  <si>
    <t>1JI7_4_5</t>
  </si>
  <si>
    <t>1E8Y_11_13</t>
  </si>
  <si>
    <t>1B25_23_24</t>
  </si>
  <si>
    <t>1N5U_4_1</t>
  </si>
  <si>
    <t>1N5U_10_8</t>
  </si>
  <si>
    <t>2Z0A_1_2</t>
  </si>
  <si>
    <t>1Q5D_4_5</t>
  </si>
  <si>
    <t>1EPW_3_5</t>
  </si>
  <si>
    <t>1MW9_8_5</t>
  </si>
  <si>
    <t>2R7G_9_0</t>
  </si>
  <si>
    <t>1QSA_22_20</t>
  </si>
  <si>
    <t>1PQ1_1_5</t>
  </si>
  <si>
    <t>3BNY_14_15</t>
  </si>
  <si>
    <t>3BHW_5_6</t>
  </si>
  <si>
    <t>1XWL_7_8</t>
  </si>
  <si>
    <t>3HJE_8_7</t>
  </si>
  <si>
    <t>1TBF_4_5</t>
  </si>
  <si>
    <t>1Q1F_2_5</t>
  </si>
  <si>
    <t>2W72_2_5</t>
  </si>
  <si>
    <t>2WY4_2_5</t>
  </si>
  <si>
    <t>1K8U_2_0</t>
  </si>
  <si>
    <t>1PUJ_3_4</t>
  </si>
  <si>
    <t>1QOY_4_3</t>
  </si>
  <si>
    <t>1KBL_1_6</t>
  </si>
  <si>
    <t>1E7L_7_8</t>
  </si>
  <si>
    <t>2IJ2_3_4</t>
  </si>
  <si>
    <t>1JF3_2_5</t>
  </si>
  <si>
    <t>1MW9_11_2</t>
  </si>
  <si>
    <t>1ECA_2_5</t>
  </si>
  <si>
    <t>2HHP_4_7</t>
  </si>
  <si>
    <t>3DR9_1_3</t>
  </si>
  <si>
    <t>2FBQ_4_5</t>
  </si>
  <si>
    <t>1IT2_2_5</t>
  </si>
  <si>
    <t>1FNN_11_10</t>
  </si>
  <si>
    <t>2FNA_8_7</t>
  </si>
  <si>
    <t>2HUE_0_1</t>
  </si>
  <si>
    <t>1S1F_7_8</t>
  </si>
  <si>
    <t>1PO5_10_11</t>
  </si>
  <si>
    <t>1GU2_1_2</t>
  </si>
  <si>
    <t>2O4T_1_2</t>
  </si>
  <si>
    <t>1GWU_3_2</t>
  </si>
  <si>
    <t>2W72_8_11</t>
  </si>
  <si>
    <t>1QV1_0_3</t>
  </si>
  <si>
    <t>1LWB_0_1</t>
  </si>
  <si>
    <t>2QM8_6_15</t>
  </si>
  <si>
    <t>2ZWU_7_6</t>
  </si>
  <si>
    <t>1K87_2_3</t>
  </si>
  <si>
    <t>1KBL_0_7</t>
  </si>
  <si>
    <t>2Z37_2_0</t>
  </si>
  <si>
    <t>1M1N_11_4</t>
  </si>
  <si>
    <t>1MW9_6_5</t>
  </si>
  <si>
    <t>1QMG_11_7</t>
  </si>
  <si>
    <t>2WF7_1_2</t>
  </si>
  <si>
    <t>1PBW_2_6</t>
  </si>
  <si>
    <t>1T0F_3_0</t>
  </si>
  <si>
    <t>1RKT_5_11</t>
  </si>
  <si>
    <t>1U2K_4_5</t>
  </si>
  <si>
    <t>2PTR_0_2</t>
  </si>
  <si>
    <t>2CXY_0_2</t>
  </si>
  <si>
    <t>1UW4_9_11</t>
  </si>
  <si>
    <t>2INC_16_2</t>
  </si>
  <si>
    <t>1F1M_3_0</t>
  </si>
  <si>
    <t>1U7L_4_0</t>
  </si>
  <si>
    <t>2JDI_58_57</t>
  </si>
  <si>
    <t>2O02_11_12</t>
  </si>
  <si>
    <t>2QIS_17_4</t>
  </si>
  <si>
    <t>3CSX_1_0</t>
  </si>
  <si>
    <t>2AP3_2_3</t>
  </si>
  <si>
    <t>2UXW_4_5</t>
  </si>
  <si>
    <t>1YDI_2_1</t>
  </si>
  <si>
    <t>1O9I_3_4</t>
  </si>
  <si>
    <t>2FB5_4_5</t>
  </si>
  <si>
    <t>1G8M_2_11</t>
  </si>
  <si>
    <t>3DLQ_4_1</t>
  </si>
  <si>
    <t>1HUW_4_7</t>
  </si>
  <si>
    <t>2NNU_2_1</t>
  </si>
  <si>
    <t>1L3P_3_0</t>
  </si>
  <si>
    <t>2RFQ_14_13</t>
  </si>
  <si>
    <t>1NKD_1_0</t>
  </si>
  <si>
    <t>1KQ3_2_3</t>
  </si>
  <si>
    <t>3B5M_4_3</t>
  </si>
  <si>
    <t>1EER_0_3</t>
  </si>
  <si>
    <t>1W53_0_1</t>
  </si>
  <si>
    <t>1FP2_12_1</t>
  </si>
  <si>
    <t>1MXR_2_10</t>
  </si>
  <si>
    <t>3BB0_7_1</t>
  </si>
  <si>
    <t>1SYY_2_11</t>
  </si>
  <si>
    <t>1BEA_1_0</t>
  </si>
  <si>
    <t>3FWN_10_11</t>
  </si>
  <si>
    <t>1O0W_1_9</t>
  </si>
  <si>
    <t>2OY9_4_3</t>
  </si>
  <si>
    <t>1H2V_5_6</t>
  </si>
  <si>
    <t>1YYD_3_1</t>
  </si>
  <si>
    <t>1GWU_3_1</t>
  </si>
  <si>
    <t>3DHZ_2_12</t>
  </si>
  <si>
    <t>1RWH_6_0</t>
  </si>
  <si>
    <t>1SGM_10_3</t>
  </si>
  <si>
    <t>1G8Q_2_3</t>
  </si>
  <si>
    <t>1CB8_7_8</t>
  </si>
  <si>
    <t>1QHD_0_1</t>
  </si>
  <si>
    <t>1GU9_6_0</t>
  </si>
  <si>
    <t>2H6F_1_0</t>
  </si>
  <si>
    <t>1WZD_3_4</t>
  </si>
  <si>
    <t>1D2T_24_0</t>
  </si>
  <si>
    <t>2INC_0_14</t>
  </si>
  <si>
    <t>1DK8_3_4</t>
  </si>
  <si>
    <t>2RCC_11_12</t>
  </si>
  <si>
    <t>1ECA_2_0</t>
  </si>
  <si>
    <t>1KP8_66_67</t>
  </si>
  <si>
    <t>3BJD_7_8</t>
  </si>
  <si>
    <t>3BJD_18_19</t>
  </si>
  <si>
    <t>3DHZ_6_7</t>
  </si>
  <si>
    <t>1H12_9_8</t>
  </si>
  <si>
    <t>1UW4_6_7</t>
  </si>
  <si>
    <t>1QSA_12_13</t>
  </si>
  <si>
    <t>1H2V_8_9</t>
  </si>
  <si>
    <t>1WOL_2_1</t>
  </si>
  <si>
    <t>2W72_14_12</t>
  </si>
  <si>
    <t>3DPJ_9_3</t>
  </si>
  <si>
    <t>1HF8_0_1</t>
  </si>
  <si>
    <t>1K87_12_15</t>
  </si>
  <si>
    <t>3FWN_6_7</t>
  </si>
  <si>
    <t>1K8K_16_23</t>
  </si>
  <si>
    <t>3GVO_0_1</t>
  </si>
  <si>
    <t>2DSJ_0_1</t>
  </si>
  <si>
    <t>1M0W_2_3</t>
  </si>
  <si>
    <t>1R1H_2_15</t>
  </si>
  <si>
    <t>1MUN_4_6</t>
  </si>
  <si>
    <t>1MW9_10_6</t>
  </si>
  <si>
    <t>3EUP_9_3</t>
  </si>
  <si>
    <t>3A04_3_12</t>
  </si>
  <si>
    <t>2QM8_1_17</t>
  </si>
  <si>
    <t>2V2P_3_24</t>
  </si>
  <si>
    <t>3CKC_2_1</t>
  </si>
  <si>
    <t>3GVO_6_7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</si>
</sst>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4"/>
  <sheetViews>
    <sheetView windowProtection="false" showFormulas="false" showGridLines="true" showRowColHeaders="true" showZeros="true" rightToLeft="false" tabSelected="false" showOutlineSymbols="true" defaultGridColor="true" view="normal" topLeftCell="A598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5459183673469"/>
    <col collapsed="false" hidden="false" max="2" min="2" style="0" width="7.18367346938776"/>
    <col collapsed="false" hidden="false" max="3" min="3" style="0" width="8.02551020408163"/>
    <col collapsed="false" hidden="false" max="4" min="4" style="0" width="7.18367346938776"/>
    <col collapsed="false" hidden="false" max="5" min="5" style="0" width="8.02551020408163"/>
    <col collapsed="false" hidden="false" max="6" min="6" style="0" width="14.1938775510204"/>
    <col collapsed="false" hidden="false" max="7" min="7" style="0" width="7.18367346938776"/>
    <col collapsed="false" hidden="false" max="8" min="8" style="0" width="9.97959183673469"/>
    <col collapsed="false" hidden="false" max="9" min="9" style="0" width="7.18367346938776"/>
    <col collapsed="false" hidden="false" max="10" min="10" style="0" width="9.97959183673469"/>
    <col collapsed="false" hidden="false" max="11" min="11" style="0" width="6.9030612244898"/>
    <col collapsed="false" hidden="false" max="12" min="12" style="0" width="8.72959183673469"/>
    <col collapsed="false" hidden="false" max="13" min="13" style="0" width="6.61224489795918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tr">
        <f aca="false">"127-138"</f>
        <v>127-138</v>
      </c>
      <c r="D2" s="0" t="s">
        <v>9</v>
      </c>
      <c r="E2" s="0" t="str">
        <f aca="false">"235-246"</f>
        <v>235-246</v>
      </c>
      <c r="F2" s="0" t="s">
        <v>10</v>
      </c>
      <c r="G2" s="0" t="s">
        <v>9</v>
      </c>
      <c r="H2" s="0" t="str">
        <f aca="false">"222-233"</f>
        <v>222-233</v>
      </c>
      <c r="I2" s="0" t="s">
        <v>9</v>
      </c>
      <c r="J2" s="0" t="str">
        <f aca="false">"152-163"</f>
        <v>152-163</v>
      </c>
      <c r="K2" s="0" t="str">
        <f aca="false">"1.21"</f>
        <v>1.21</v>
      </c>
      <c r="L2" s="0" t="str">
        <f aca="false">"10.57"</f>
        <v>10.57</v>
      </c>
      <c r="M2" s="0" t="str">
        <f aca="false">"-161.4"</f>
        <v>-161.4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tr">
        <f aca="false">"134-145"</f>
        <v>134-145</v>
      </c>
      <c r="D3" s="0" t="s">
        <v>9</v>
      </c>
      <c r="E3" s="0" t="str">
        <f aca="false">"229-240"</f>
        <v>229-240</v>
      </c>
      <c r="F3" s="0" t="s">
        <v>11</v>
      </c>
      <c r="G3" s="0" t="s">
        <v>9</v>
      </c>
      <c r="H3" s="0" t="str">
        <f aca="false">"119-130"</f>
        <v>119-130</v>
      </c>
      <c r="I3" s="0" t="s">
        <v>9</v>
      </c>
      <c r="J3" s="0" t="str">
        <f aca="false">"91-102"</f>
        <v>91-102</v>
      </c>
      <c r="K3" s="0" t="str">
        <f aca="false">"1.24"</f>
        <v>1.24</v>
      </c>
      <c r="L3" s="0" t="str">
        <f aca="false">"10.31"</f>
        <v>10.31</v>
      </c>
      <c r="M3" s="0" t="str">
        <f aca="false">"-166.6"</f>
        <v>-166.6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tr">
        <f aca="false">"130-141"</f>
        <v>130-141</v>
      </c>
      <c r="D4" s="0" t="s">
        <v>9</v>
      </c>
      <c r="E4" s="0" t="str">
        <f aca="false">"235-246"</f>
        <v>235-246</v>
      </c>
      <c r="F4" s="0" t="s">
        <v>12</v>
      </c>
      <c r="G4" s="0" t="s">
        <v>13</v>
      </c>
      <c r="H4" s="0" t="str">
        <f aca="false">"185-196"</f>
        <v>185-196</v>
      </c>
      <c r="I4" s="0" t="s">
        <v>13</v>
      </c>
      <c r="J4" s="0" t="str">
        <f aca="false">"117-128"</f>
        <v>117-128</v>
      </c>
      <c r="K4" s="0" t="str">
        <f aca="false">"0.93"</f>
        <v>0.93</v>
      </c>
      <c r="L4" s="0" t="str">
        <f aca="false">"10.34"</f>
        <v>10.34</v>
      </c>
      <c r="M4" s="0" t="str">
        <f aca="false">"-155.4"</f>
        <v>-155.4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tr">
        <f aca="false">"130-141"</f>
        <v>130-141</v>
      </c>
      <c r="D5" s="0" t="s">
        <v>9</v>
      </c>
      <c r="E5" s="0" t="str">
        <f aca="false">"235-246"</f>
        <v>235-246</v>
      </c>
      <c r="F5" s="0" t="s">
        <v>14</v>
      </c>
      <c r="G5" s="0" t="s">
        <v>9</v>
      </c>
      <c r="H5" s="0" t="str">
        <f aca="false">"187-198"</f>
        <v>187-198</v>
      </c>
      <c r="I5" s="0" t="s">
        <v>9</v>
      </c>
      <c r="J5" s="0" t="str">
        <f aca="false">"116-127"</f>
        <v>116-127</v>
      </c>
      <c r="K5" s="0" t="str">
        <f aca="false">"1.21"</f>
        <v>1.21</v>
      </c>
      <c r="L5" s="0" t="str">
        <f aca="false">"10.17"</f>
        <v>10.17</v>
      </c>
      <c r="M5" s="0" t="str">
        <f aca="false">"-151.3"</f>
        <v>-151.3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str">
        <f aca="false">"134-145"</f>
        <v>134-145</v>
      </c>
      <c r="D6" s="0" t="s">
        <v>9</v>
      </c>
      <c r="E6" s="0" t="str">
        <f aca="false">"229-240"</f>
        <v>229-240</v>
      </c>
      <c r="F6" s="0" t="s">
        <v>15</v>
      </c>
      <c r="G6" s="0" t="s">
        <v>9</v>
      </c>
      <c r="H6" s="0" t="str">
        <f aca="false">"93-104"</f>
        <v>93-104</v>
      </c>
      <c r="I6" s="0" t="s">
        <v>9</v>
      </c>
      <c r="J6" s="0" t="str">
        <f aca="false">"151-162"</f>
        <v>151-162</v>
      </c>
      <c r="K6" s="0" t="str">
        <f aca="false">"0.72"</f>
        <v>0.72</v>
      </c>
      <c r="L6" s="0" t="str">
        <f aca="false">"9.75"</f>
        <v>9.75</v>
      </c>
      <c r="M6" s="0" t="str">
        <f aca="false">"-152.6"</f>
        <v>-152.6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tr">
        <f aca="false">"134-145"</f>
        <v>134-145</v>
      </c>
      <c r="D7" s="0" t="s">
        <v>9</v>
      </c>
      <c r="E7" s="0" t="str">
        <f aca="false">"232-243"</f>
        <v>232-243</v>
      </c>
      <c r="F7" s="0" t="s">
        <v>16</v>
      </c>
      <c r="G7" s="0" t="s">
        <v>9</v>
      </c>
      <c r="H7" s="0" t="str">
        <f aca="false">"83-94"</f>
        <v>83-94</v>
      </c>
      <c r="I7" s="0" t="s">
        <v>9</v>
      </c>
      <c r="J7" s="0" t="str">
        <f aca="false">"26-37"</f>
        <v>26-37</v>
      </c>
      <c r="K7" s="0" t="str">
        <f aca="false">"0.94"</f>
        <v>0.94</v>
      </c>
      <c r="L7" s="0" t="str">
        <f aca="false">"10.84"</f>
        <v>10.84</v>
      </c>
      <c r="M7" s="0" t="str">
        <f aca="false">"-154.2"</f>
        <v>-154.2</v>
      </c>
    </row>
    <row r="8" customFormat="false" ht="12.8" hidden="false" customHeight="false" outlineLevel="0" collapsed="false">
      <c r="A8" s="0" t="s">
        <v>8</v>
      </c>
      <c r="B8" s="0" t="s">
        <v>9</v>
      </c>
      <c r="C8" s="0" t="str">
        <f aca="false">"134-145"</f>
        <v>134-145</v>
      </c>
      <c r="D8" s="0" t="s">
        <v>9</v>
      </c>
      <c r="E8" s="0" t="str">
        <f aca="false">"229-240"</f>
        <v>229-240</v>
      </c>
      <c r="F8" s="0" t="s">
        <v>17</v>
      </c>
      <c r="G8" s="0" t="s">
        <v>9</v>
      </c>
      <c r="H8" s="0" t="str">
        <f aca="false">"104-115"</f>
        <v>104-115</v>
      </c>
      <c r="I8" s="0" t="s">
        <v>9</v>
      </c>
      <c r="J8" s="0" t="str">
        <f aca="false">"173-184"</f>
        <v>173-184</v>
      </c>
      <c r="K8" s="0" t="str">
        <f aca="false">"1.14"</f>
        <v>1.14</v>
      </c>
      <c r="L8" s="0" t="str">
        <f aca="false">"10.65"</f>
        <v>10.65</v>
      </c>
      <c r="M8" s="0" t="str">
        <f aca="false">"-139.5"</f>
        <v>-139.5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tr">
        <f aca="false">"134-145"</f>
        <v>134-145</v>
      </c>
      <c r="D9" s="0" t="s">
        <v>9</v>
      </c>
      <c r="E9" s="0" t="str">
        <f aca="false">"229-240"</f>
        <v>229-240</v>
      </c>
      <c r="F9" s="0" t="s">
        <v>18</v>
      </c>
      <c r="G9" s="0" t="s">
        <v>9</v>
      </c>
      <c r="H9" s="0" t="str">
        <f aca="false">"435-446"</f>
        <v>435-446</v>
      </c>
      <c r="I9" s="0" t="s">
        <v>9</v>
      </c>
      <c r="J9" s="0" t="str">
        <f aca="false">"355-366"</f>
        <v>355-366</v>
      </c>
      <c r="K9" s="0" t="str">
        <f aca="false">"1.23"</f>
        <v>1.23</v>
      </c>
      <c r="L9" s="0" t="str">
        <f aca="false">"10.68"</f>
        <v>10.68</v>
      </c>
      <c r="M9" s="0" t="str">
        <f aca="false">"-144.3"</f>
        <v>-144.3</v>
      </c>
    </row>
    <row r="10" customFormat="false" ht="12.8" hidden="false" customHeight="false" outlineLevel="0" collapsed="false">
      <c r="A10" s="0" t="s">
        <v>8</v>
      </c>
      <c r="B10" s="0" t="s">
        <v>9</v>
      </c>
      <c r="C10" s="0" t="str">
        <f aca="false">"134-145"</f>
        <v>134-145</v>
      </c>
      <c r="D10" s="0" t="s">
        <v>9</v>
      </c>
      <c r="E10" s="0" t="str">
        <f aca="false">"229-240"</f>
        <v>229-240</v>
      </c>
      <c r="F10" s="0" t="s">
        <v>19</v>
      </c>
      <c r="G10" s="0" t="s">
        <v>9</v>
      </c>
      <c r="H10" s="0" t="str">
        <f aca="false">"1695-1706"</f>
        <v>1695-1706</v>
      </c>
      <c r="I10" s="0" t="s">
        <v>9</v>
      </c>
      <c r="J10" s="0" t="str">
        <f aca="false">"1687-1698"</f>
        <v>1687-1698</v>
      </c>
      <c r="K10" s="0" t="str">
        <f aca="false">"0.79"</f>
        <v>0.79</v>
      </c>
      <c r="L10" s="0" t="str">
        <f aca="false">"10.40"</f>
        <v>10.40</v>
      </c>
      <c r="M10" s="0" t="str">
        <f aca="false">"-147.4"</f>
        <v>-147.4</v>
      </c>
    </row>
    <row r="11" customFormat="false" ht="12.8" hidden="false" customHeight="false" outlineLevel="0" collapsed="false">
      <c r="A11" s="0" t="s">
        <v>8</v>
      </c>
      <c r="B11" s="0" t="s">
        <v>9</v>
      </c>
      <c r="C11" s="0" t="str">
        <f aca="false">"134-145"</f>
        <v>134-145</v>
      </c>
      <c r="D11" s="0" t="s">
        <v>9</v>
      </c>
      <c r="E11" s="0" t="str">
        <f aca="false">"229-240"</f>
        <v>229-240</v>
      </c>
      <c r="F11" s="0" t="s">
        <v>20</v>
      </c>
      <c r="G11" s="0" t="s">
        <v>9</v>
      </c>
      <c r="H11" s="0" t="str">
        <f aca="false">"22-33"</f>
        <v>22-33</v>
      </c>
      <c r="I11" s="0" t="s">
        <v>9</v>
      </c>
      <c r="J11" s="0" t="str">
        <f aca="false">"121-132"</f>
        <v>121-132</v>
      </c>
      <c r="K11" s="0" t="str">
        <f aca="false">"0.65"</f>
        <v>0.65</v>
      </c>
      <c r="L11" s="0" t="str">
        <f aca="false">"9.67"</f>
        <v>9.67</v>
      </c>
      <c r="M11" s="0" t="str">
        <f aca="false">"-153.5"</f>
        <v>-153.5</v>
      </c>
    </row>
    <row r="12" customFormat="false" ht="12.8" hidden="false" customHeight="false" outlineLevel="0" collapsed="false">
      <c r="A12" s="0" t="s">
        <v>8</v>
      </c>
      <c r="B12" s="0" t="s">
        <v>9</v>
      </c>
      <c r="C12" s="0" t="str">
        <f aca="false">"134-145"</f>
        <v>134-145</v>
      </c>
      <c r="D12" s="0" t="s">
        <v>9</v>
      </c>
      <c r="E12" s="0" t="str">
        <f aca="false">"229-240"</f>
        <v>229-240</v>
      </c>
      <c r="F12" s="0" t="s">
        <v>21</v>
      </c>
      <c r="G12" s="0" t="s">
        <v>9</v>
      </c>
      <c r="H12" s="0" t="str">
        <f aca="false">"45-56"</f>
        <v>45-56</v>
      </c>
      <c r="I12" s="0" t="s">
        <v>9</v>
      </c>
      <c r="J12" s="0" t="str">
        <f aca="false">"187-198"</f>
        <v>187-198</v>
      </c>
      <c r="K12" s="0" t="str">
        <f aca="false">"0.88"</f>
        <v>0.88</v>
      </c>
      <c r="L12" s="0" t="str">
        <f aca="false">"8.87"</f>
        <v>8.87</v>
      </c>
      <c r="M12" s="0" t="str">
        <f aca="false">"-159.5"</f>
        <v>-159.5</v>
      </c>
    </row>
    <row r="13" customFormat="false" ht="12.8" hidden="false" customHeight="false" outlineLevel="0" collapsed="false">
      <c r="A13" s="0" t="s">
        <v>8</v>
      </c>
      <c r="B13" s="0" t="s">
        <v>9</v>
      </c>
      <c r="C13" s="0" t="str">
        <f aca="false">"134-145"</f>
        <v>134-145</v>
      </c>
      <c r="D13" s="0" t="s">
        <v>9</v>
      </c>
      <c r="E13" s="0" t="str">
        <f aca="false">"229-240"</f>
        <v>229-240</v>
      </c>
      <c r="F13" s="0" t="s">
        <v>22</v>
      </c>
      <c r="G13" s="0" t="s">
        <v>9</v>
      </c>
      <c r="H13" s="0" t="str">
        <f aca="false">"287-298"</f>
        <v>287-298</v>
      </c>
      <c r="I13" s="0" t="s">
        <v>9</v>
      </c>
      <c r="J13" s="0" t="str">
        <f aca="false">"209-220"</f>
        <v>209-220</v>
      </c>
      <c r="K13" s="0" t="str">
        <f aca="false">"0.95"</f>
        <v>0.95</v>
      </c>
      <c r="L13" s="0" t="str">
        <f aca="false">"10.54"</f>
        <v>10.54</v>
      </c>
      <c r="M13" s="0" t="str">
        <f aca="false">"-152.6"</f>
        <v>-152.6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str">
        <f aca="false">"137-148"</f>
        <v>137-148</v>
      </c>
      <c r="D14" s="0" t="s">
        <v>9</v>
      </c>
      <c r="E14" s="0" t="str">
        <f aca="false">"226-237"</f>
        <v>226-237</v>
      </c>
      <c r="F14" s="0" t="s">
        <v>23</v>
      </c>
      <c r="G14" s="0" t="s">
        <v>24</v>
      </c>
      <c r="H14" s="0" t="str">
        <f aca="false">"197-208"</f>
        <v>197-208</v>
      </c>
      <c r="I14" s="0" t="s">
        <v>24</v>
      </c>
      <c r="J14" s="0" t="str">
        <f aca="false">"255-266"</f>
        <v>255-266</v>
      </c>
      <c r="K14" s="0" t="str">
        <f aca="false">"1.14"</f>
        <v>1.14</v>
      </c>
      <c r="L14" s="0" t="str">
        <f aca="false">"10.03"</f>
        <v>10.03</v>
      </c>
      <c r="M14" s="0" t="str">
        <f aca="false">"-152.8"</f>
        <v>-152.8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tr">
        <f aca="false">"134-145"</f>
        <v>134-145</v>
      </c>
      <c r="D15" s="0" t="s">
        <v>9</v>
      </c>
      <c r="E15" s="0" t="str">
        <f aca="false">"229-240"</f>
        <v>229-240</v>
      </c>
      <c r="F15" s="0" t="s">
        <v>25</v>
      </c>
      <c r="G15" s="0" t="s">
        <v>9</v>
      </c>
      <c r="H15" s="0" t="str">
        <f aca="false">"16-27"</f>
        <v>16-27</v>
      </c>
      <c r="I15" s="0" t="s">
        <v>9</v>
      </c>
      <c r="J15" s="0" t="str">
        <f aca="false">"35-46"</f>
        <v>35-46</v>
      </c>
      <c r="K15" s="0" t="str">
        <f aca="false">"1.15"</f>
        <v>1.15</v>
      </c>
      <c r="L15" s="0" t="str">
        <f aca="false">"10.22"</f>
        <v>10.22</v>
      </c>
      <c r="M15" s="0" t="str">
        <f aca="false">"-162.3"</f>
        <v>-162.3</v>
      </c>
    </row>
    <row r="16" customFormat="false" ht="12.8" hidden="false" customHeight="false" outlineLevel="0" collapsed="false">
      <c r="A16" s="0" t="s">
        <v>8</v>
      </c>
      <c r="B16" s="0" t="s">
        <v>9</v>
      </c>
      <c r="C16" s="0" t="str">
        <f aca="false">"134-145"</f>
        <v>134-145</v>
      </c>
      <c r="D16" s="0" t="s">
        <v>9</v>
      </c>
      <c r="E16" s="0" t="str">
        <f aca="false">"226-237"</f>
        <v>226-237</v>
      </c>
      <c r="F16" s="0" t="s">
        <v>26</v>
      </c>
      <c r="G16" s="0" t="s">
        <v>9</v>
      </c>
      <c r="H16" s="0" t="str">
        <f aca="false">"390-401"</f>
        <v>390-401</v>
      </c>
      <c r="I16" s="0" t="s">
        <v>9</v>
      </c>
      <c r="J16" s="0" t="str">
        <f aca="false">"369-380"</f>
        <v>369-380</v>
      </c>
      <c r="K16" s="0" t="str">
        <f aca="false">"0.80"</f>
        <v>0.80</v>
      </c>
      <c r="L16" s="0" t="str">
        <f aca="false">"10.34"</f>
        <v>10.34</v>
      </c>
      <c r="M16" s="0" t="str">
        <f aca="false">"-152.1"</f>
        <v>-152.1</v>
      </c>
    </row>
    <row r="17" customFormat="false" ht="12.8" hidden="false" customHeight="false" outlineLevel="0" collapsed="false">
      <c r="A17" s="0" t="s">
        <v>8</v>
      </c>
      <c r="B17" s="0" t="s">
        <v>9</v>
      </c>
      <c r="C17" s="0" t="str">
        <f aca="false">"137-148"</f>
        <v>137-148</v>
      </c>
      <c r="D17" s="0" t="s">
        <v>9</v>
      </c>
      <c r="E17" s="0" t="str">
        <f aca="false">"226-237"</f>
        <v>226-237</v>
      </c>
      <c r="F17" s="0" t="s">
        <v>27</v>
      </c>
      <c r="G17" s="0" t="s">
        <v>9</v>
      </c>
      <c r="H17" s="0" t="str">
        <f aca="false">"92-103"</f>
        <v>92-103</v>
      </c>
      <c r="I17" s="0" t="s">
        <v>9</v>
      </c>
      <c r="J17" s="0" t="str">
        <f aca="false">"141-152"</f>
        <v>141-152</v>
      </c>
      <c r="K17" s="0" t="str">
        <f aca="false">"0.52"</f>
        <v>0.52</v>
      </c>
      <c r="L17" s="0" t="str">
        <f aca="false">"9.67"</f>
        <v>9.67</v>
      </c>
      <c r="M17" s="0" t="str">
        <f aca="false">"-157.4"</f>
        <v>-157.4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str">
        <f aca="false">"134-145"</f>
        <v>134-145</v>
      </c>
      <c r="D18" s="0" t="s">
        <v>9</v>
      </c>
      <c r="E18" s="0" t="str">
        <f aca="false">"229-240"</f>
        <v>229-240</v>
      </c>
      <c r="F18" s="0" t="s">
        <v>28</v>
      </c>
      <c r="G18" s="0" t="s">
        <v>9</v>
      </c>
      <c r="H18" s="0" t="str">
        <f aca="false">"29-40"</f>
        <v>29-40</v>
      </c>
      <c r="I18" s="0" t="s">
        <v>9</v>
      </c>
      <c r="J18" s="0" t="str">
        <f aca="false">"167-178"</f>
        <v>167-178</v>
      </c>
      <c r="K18" s="0" t="str">
        <f aca="false">"0.76"</f>
        <v>0.76</v>
      </c>
      <c r="L18" s="0" t="str">
        <f aca="false">"10.19"</f>
        <v>10.19</v>
      </c>
      <c r="M18" s="0" t="str">
        <f aca="false">"-155.7"</f>
        <v>-155.7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str">
        <f aca="false">"134-145"</f>
        <v>134-145</v>
      </c>
      <c r="D19" s="0" t="s">
        <v>9</v>
      </c>
      <c r="E19" s="0" t="str">
        <f aca="false">"229-240"</f>
        <v>229-240</v>
      </c>
      <c r="F19" s="0" t="s">
        <v>29</v>
      </c>
      <c r="G19" s="0" t="s">
        <v>9</v>
      </c>
      <c r="H19" s="0" t="str">
        <f aca="false">"354-365"</f>
        <v>354-365</v>
      </c>
      <c r="I19" s="0" t="s">
        <v>9</v>
      </c>
      <c r="J19" s="0" t="str">
        <f aca="false">"279-290"</f>
        <v>279-290</v>
      </c>
      <c r="K19" s="0" t="str">
        <f aca="false">"1.09"</f>
        <v>1.09</v>
      </c>
      <c r="L19" s="0" t="str">
        <f aca="false">"9.79"</f>
        <v>9.79</v>
      </c>
      <c r="M19" s="0" t="str">
        <f aca="false">"-144.0"</f>
        <v>-144.0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tr">
        <f aca="false">"134-145"</f>
        <v>134-145</v>
      </c>
      <c r="D20" s="0" t="s">
        <v>9</v>
      </c>
      <c r="E20" s="0" t="str">
        <f aca="false">"229-240"</f>
        <v>229-240</v>
      </c>
      <c r="F20" s="0" t="s">
        <v>30</v>
      </c>
      <c r="G20" s="0" t="s">
        <v>13</v>
      </c>
      <c r="H20" s="0" t="str">
        <f aca="false">"110-121"</f>
        <v>110-121</v>
      </c>
      <c r="I20" s="0" t="s">
        <v>13</v>
      </c>
      <c r="J20" s="0" t="str">
        <f aca="false">"437-448"</f>
        <v>437-448</v>
      </c>
      <c r="K20" s="0" t="str">
        <f aca="false">"0.57"</f>
        <v>0.57</v>
      </c>
      <c r="L20" s="0" t="str">
        <f aca="false">"9.64"</f>
        <v>9.64</v>
      </c>
      <c r="M20" s="0" t="str">
        <f aca="false">"-154.8"</f>
        <v>-154.8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tr">
        <f aca="false">"134-145"</f>
        <v>134-145</v>
      </c>
      <c r="D21" s="0" t="s">
        <v>9</v>
      </c>
      <c r="E21" s="0" t="str">
        <f aca="false">"229-240"</f>
        <v>229-240</v>
      </c>
      <c r="F21" s="0" t="s">
        <v>31</v>
      </c>
      <c r="G21" s="0" t="s">
        <v>9</v>
      </c>
      <c r="H21" s="0" t="str">
        <f aca="false">"94-105"</f>
        <v>94-105</v>
      </c>
      <c r="I21" s="0" t="s">
        <v>9</v>
      </c>
      <c r="J21" s="0" t="str">
        <f aca="false">"135-146"</f>
        <v>135-146</v>
      </c>
      <c r="K21" s="0" t="str">
        <f aca="false">"0.90"</f>
        <v>0.90</v>
      </c>
      <c r="L21" s="0" t="str">
        <f aca="false">"10.10"</f>
        <v>10.10</v>
      </c>
      <c r="M21" s="0" t="str">
        <f aca="false">"-163.9"</f>
        <v>-163.9</v>
      </c>
    </row>
    <row r="22" customFormat="false" ht="12.8" hidden="false" customHeight="false" outlineLevel="0" collapsed="false">
      <c r="A22" s="0" t="s">
        <v>8</v>
      </c>
      <c r="B22" s="0" t="s">
        <v>9</v>
      </c>
      <c r="C22" s="0" t="str">
        <f aca="false">"127-138"</f>
        <v>127-138</v>
      </c>
      <c r="D22" s="0" t="s">
        <v>9</v>
      </c>
      <c r="E22" s="0" t="str">
        <f aca="false">"233-244"</f>
        <v>233-244</v>
      </c>
      <c r="F22" s="0" t="s">
        <v>32</v>
      </c>
      <c r="G22" s="0" t="s">
        <v>9</v>
      </c>
      <c r="H22" s="0" t="str">
        <f aca="false">"6-17"</f>
        <v>6-17</v>
      </c>
      <c r="I22" s="0" t="s">
        <v>9</v>
      </c>
      <c r="J22" s="0" t="str">
        <f aca="false">"92-103"</f>
        <v>92-103</v>
      </c>
      <c r="K22" s="0" t="str">
        <f aca="false">"0.88"</f>
        <v>0.88</v>
      </c>
      <c r="L22" s="0" t="str">
        <f aca="false">"10.71"</f>
        <v>10.71</v>
      </c>
      <c r="M22" s="0" t="str">
        <f aca="false">"-157.0"</f>
        <v>-157.0</v>
      </c>
    </row>
    <row r="23" customFormat="false" ht="12.8" hidden="false" customHeight="false" outlineLevel="0" collapsed="false">
      <c r="A23" s="0" t="s">
        <v>8</v>
      </c>
      <c r="B23" s="0" t="s">
        <v>9</v>
      </c>
      <c r="C23" s="0" t="str">
        <f aca="false">"134-145"</f>
        <v>134-145</v>
      </c>
      <c r="D23" s="0" t="s">
        <v>9</v>
      </c>
      <c r="E23" s="0" t="str">
        <f aca="false">"229-240"</f>
        <v>229-240</v>
      </c>
      <c r="F23" s="0" t="s">
        <v>33</v>
      </c>
      <c r="G23" s="0" t="s">
        <v>9</v>
      </c>
      <c r="H23" s="0" t="str">
        <f aca="false">"424-435"</f>
        <v>424-435</v>
      </c>
      <c r="I23" s="0" t="s">
        <v>9</v>
      </c>
      <c r="J23" s="0" t="str">
        <f aca="false">"68-79"</f>
        <v>68-79</v>
      </c>
      <c r="K23" s="0" t="str">
        <f aca="false">"0.79"</f>
        <v>0.79</v>
      </c>
      <c r="L23" s="0" t="str">
        <f aca="false">"9.92"</f>
        <v>9.92</v>
      </c>
      <c r="M23" s="0" t="str">
        <f aca="false">"-157.2"</f>
        <v>-157.2</v>
      </c>
    </row>
    <row r="24" customFormat="false" ht="12.8" hidden="false" customHeight="false" outlineLevel="0" collapsed="false">
      <c r="A24" s="0" t="s">
        <v>8</v>
      </c>
      <c r="B24" s="0" t="s">
        <v>9</v>
      </c>
      <c r="C24" s="0" t="str">
        <f aca="false">"130-141"</f>
        <v>130-141</v>
      </c>
      <c r="D24" s="0" t="s">
        <v>9</v>
      </c>
      <c r="E24" s="0" t="str">
        <f aca="false">"233-244"</f>
        <v>233-244</v>
      </c>
      <c r="F24" s="0" t="s">
        <v>34</v>
      </c>
      <c r="G24" s="0" t="s">
        <v>9</v>
      </c>
      <c r="H24" s="0" t="str">
        <f aca="false">"49-60"</f>
        <v>49-60</v>
      </c>
      <c r="I24" s="0" t="s">
        <v>9</v>
      </c>
      <c r="J24" s="0" t="str">
        <f aca="false">"131-142"</f>
        <v>131-142</v>
      </c>
      <c r="K24" s="0" t="str">
        <f aca="false">"1.02"</f>
        <v>1.02</v>
      </c>
      <c r="L24" s="0" t="str">
        <f aca="false">"9.94"</f>
        <v>9.94</v>
      </c>
      <c r="M24" s="0" t="str">
        <f aca="false">"-165.2"</f>
        <v>-165.2</v>
      </c>
    </row>
    <row r="25" customFormat="false" ht="12.8" hidden="false" customHeight="false" outlineLevel="0" collapsed="false">
      <c r="A25" s="0" t="s">
        <v>8</v>
      </c>
      <c r="B25" s="0" t="s">
        <v>9</v>
      </c>
      <c r="C25" s="0" t="str">
        <f aca="false">"131-142"</f>
        <v>131-142</v>
      </c>
      <c r="D25" s="0" t="s">
        <v>9</v>
      </c>
      <c r="E25" s="0" t="str">
        <f aca="false">"232-243"</f>
        <v>232-243</v>
      </c>
      <c r="F25" s="0" t="s">
        <v>35</v>
      </c>
      <c r="G25" s="0" t="s">
        <v>9</v>
      </c>
      <c r="H25" s="0" t="str">
        <f aca="false">"146-157"</f>
        <v>146-157</v>
      </c>
      <c r="I25" s="0" t="s">
        <v>9</v>
      </c>
      <c r="J25" s="0" t="str">
        <f aca="false">"166-177"</f>
        <v>166-177</v>
      </c>
      <c r="K25" s="0" t="str">
        <f aca="false">"1.02"</f>
        <v>1.02</v>
      </c>
      <c r="L25" s="0" t="str">
        <f aca="false">"10.27"</f>
        <v>10.27</v>
      </c>
      <c r="M25" s="0" t="str">
        <f aca="false">"-146.7"</f>
        <v>-146.7</v>
      </c>
    </row>
    <row r="26" customFormat="false" ht="12.8" hidden="false" customHeight="false" outlineLevel="0" collapsed="false">
      <c r="A26" s="0" t="s">
        <v>8</v>
      </c>
      <c r="B26" s="0" t="s">
        <v>9</v>
      </c>
      <c r="C26" s="0" t="str">
        <f aca="false">"134-145"</f>
        <v>134-145</v>
      </c>
      <c r="D26" s="0" t="s">
        <v>9</v>
      </c>
      <c r="E26" s="0" t="str">
        <f aca="false">"229-240"</f>
        <v>229-240</v>
      </c>
      <c r="F26" s="0" t="s">
        <v>36</v>
      </c>
      <c r="G26" s="0" t="s">
        <v>9</v>
      </c>
      <c r="H26" s="0" t="str">
        <f aca="false">"194-205"</f>
        <v>194-205</v>
      </c>
      <c r="I26" s="0" t="s">
        <v>9</v>
      </c>
      <c r="J26" s="0" t="str">
        <f aca="false">"177-188"</f>
        <v>177-188</v>
      </c>
      <c r="K26" s="0" t="str">
        <f aca="false">"0.82"</f>
        <v>0.82</v>
      </c>
      <c r="L26" s="0" t="str">
        <f aca="false">"10.03"</f>
        <v>10.03</v>
      </c>
      <c r="M26" s="0" t="str">
        <f aca="false">"-146.9"</f>
        <v>-146.9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0" t="str">
        <f aca="false">"134-145"</f>
        <v>134-145</v>
      </c>
      <c r="D27" s="0" t="s">
        <v>9</v>
      </c>
      <c r="E27" s="0" t="str">
        <f aca="false">"229-240"</f>
        <v>229-240</v>
      </c>
      <c r="F27" s="0" t="s">
        <v>37</v>
      </c>
      <c r="G27" s="0" t="s">
        <v>9</v>
      </c>
      <c r="H27" s="0" t="str">
        <f aca="false">"67-78"</f>
        <v>67-78</v>
      </c>
      <c r="I27" s="0" t="s">
        <v>9</v>
      </c>
      <c r="J27" s="0" t="str">
        <f aca="false">"95-106"</f>
        <v>95-106</v>
      </c>
      <c r="K27" s="0" t="str">
        <f aca="false">"0.75"</f>
        <v>0.75</v>
      </c>
      <c r="L27" s="0" t="str">
        <f aca="false">"9.77"</f>
        <v>9.77</v>
      </c>
      <c r="M27" s="0" t="str">
        <f aca="false">"-150.2"</f>
        <v>-150.2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tr">
        <f aca="false">"134-145"</f>
        <v>134-145</v>
      </c>
      <c r="D28" s="0" t="s">
        <v>9</v>
      </c>
      <c r="E28" s="0" t="str">
        <f aca="false">"229-240"</f>
        <v>229-240</v>
      </c>
      <c r="F28" s="0" t="s">
        <v>38</v>
      </c>
      <c r="G28" s="0" t="s">
        <v>9</v>
      </c>
      <c r="H28" s="0" t="str">
        <f aca="false">"94-105"</f>
        <v>94-105</v>
      </c>
      <c r="I28" s="0" t="s">
        <v>9</v>
      </c>
      <c r="J28" s="0" t="str">
        <f aca="false">"13-24"</f>
        <v>13-24</v>
      </c>
      <c r="K28" s="0" t="str">
        <f aca="false">"0.52"</f>
        <v>0.52</v>
      </c>
      <c r="L28" s="0" t="str">
        <f aca="false">"9.39"</f>
        <v>9.39</v>
      </c>
      <c r="M28" s="0" t="str">
        <f aca="false">"-155.2"</f>
        <v>-155.2</v>
      </c>
    </row>
    <row r="29" customFormat="false" ht="12.8" hidden="false" customHeight="false" outlineLevel="0" collapsed="false">
      <c r="A29" s="0" t="s">
        <v>8</v>
      </c>
      <c r="B29" s="0" t="s">
        <v>9</v>
      </c>
      <c r="C29" s="0" t="str">
        <f aca="false">"134-145"</f>
        <v>134-145</v>
      </c>
      <c r="D29" s="0" t="s">
        <v>9</v>
      </c>
      <c r="E29" s="0" t="str">
        <f aca="false">"226-237"</f>
        <v>226-237</v>
      </c>
      <c r="F29" s="0" t="s">
        <v>39</v>
      </c>
      <c r="G29" s="0" t="s">
        <v>9</v>
      </c>
      <c r="H29" s="0" t="str">
        <f aca="false">"565-576"</f>
        <v>565-576</v>
      </c>
      <c r="I29" s="0" t="s">
        <v>9</v>
      </c>
      <c r="J29" s="0" t="str">
        <f aca="false">"553-564"</f>
        <v>553-564</v>
      </c>
      <c r="K29" s="0" t="str">
        <f aca="false">"0.84"</f>
        <v>0.84</v>
      </c>
      <c r="L29" s="0" t="str">
        <f aca="false">"10.47"</f>
        <v>10.47</v>
      </c>
      <c r="M29" s="0" t="str">
        <f aca="false">"-157.1"</f>
        <v>-157.1</v>
      </c>
    </row>
    <row r="30" customFormat="false" ht="12.8" hidden="false" customHeight="false" outlineLevel="0" collapsed="false">
      <c r="A30" s="0" t="s">
        <v>8</v>
      </c>
      <c r="B30" s="0" t="s">
        <v>9</v>
      </c>
      <c r="C30" s="0" t="str">
        <f aca="false">"131-142"</f>
        <v>131-142</v>
      </c>
      <c r="D30" s="0" t="s">
        <v>9</v>
      </c>
      <c r="E30" s="0" t="str">
        <f aca="false">"233-244"</f>
        <v>233-244</v>
      </c>
      <c r="F30" s="0" t="s">
        <v>40</v>
      </c>
      <c r="G30" s="0" t="s">
        <v>24</v>
      </c>
      <c r="H30" s="0" t="str">
        <f aca="false">"185-196"</f>
        <v>185-196</v>
      </c>
      <c r="I30" s="0" t="s">
        <v>24</v>
      </c>
      <c r="J30" s="0" t="str">
        <f aca="false">"240-251"</f>
        <v>240-251</v>
      </c>
      <c r="K30" s="0" t="str">
        <f aca="false">"0.99"</f>
        <v>0.99</v>
      </c>
      <c r="L30" s="0" t="str">
        <f aca="false">"9.65"</f>
        <v>9.65</v>
      </c>
      <c r="M30" s="0" t="str">
        <f aca="false">"-168.1"</f>
        <v>-168.1</v>
      </c>
    </row>
    <row r="31" customFormat="false" ht="12.8" hidden="false" customHeight="false" outlineLevel="0" collapsed="false">
      <c r="A31" s="0" t="s">
        <v>8</v>
      </c>
      <c r="B31" s="0" t="s">
        <v>9</v>
      </c>
      <c r="C31" s="0" t="str">
        <f aca="false">"132-143"</f>
        <v>132-143</v>
      </c>
      <c r="D31" s="0" t="s">
        <v>9</v>
      </c>
      <c r="E31" s="0" t="str">
        <f aca="false">"229-240"</f>
        <v>229-240</v>
      </c>
      <c r="F31" s="0" t="s">
        <v>41</v>
      </c>
      <c r="G31" s="0" t="s">
        <v>9</v>
      </c>
      <c r="H31" s="0" t="str">
        <f aca="false">"366-377"</f>
        <v>366-377</v>
      </c>
      <c r="I31" s="0" t="s">
        <v>9</v>
      </c>
      <c r="J31" s="0" t="str">
        <f aca="false">"388-399"</f>
        <v>388-399</v>
      </c>
      <c r="K31" s="0" t="str">
        <f aca="false">"0.81"</f>
        <v>0.81</v>
      </c>
      <c r="L31" s="0" t="str">
        <f aca="false">"9.88"</f>
        <v>9.88</v>
      </c>
      <c r="M31" s="0" t="str">
        <f aca="false">"-163.2"</f>
        <v>-163.2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str">
        <f aca="false">"134-145"</f>
        <v>134-145</v>
      </c>
      <c r="D32" s="0" t="s">
        <v>9</v>
      </c>
      <c r="E32" s="0" t="str">
        <f aca="false">"229-240"</f>
        <v>229-240</v>
      </c>
      <c r="F32" s="0" t="s">
        <v>42</v>
      </c>
      <c r="G32" s="0" t="s">
        <v>9</v>
      </c>
      <c r="H32" s="0" t="str">
        <f aca="false">"75-86"</f>
        <v>75-86</v>
      </c>
      <c r="I32" s="0" t="s">
        <v>9</v>
      </c>
      <c r="J32" s="0" t="str">
        <f aca="false">"292-303"</f>
        <v>292-303</v>
      </c>
      <c r="K32" s="0" t="str">
        <f aca="false">"0.52"</f>
        <v>0.52</v>
      </c>
      <c r="L32" s="0" t="str">
        <f aca="false">"9.82"</f>
        <v>9.82</v>
      </c>
      <c r="M32" s="0" t="str">
        <f aca="false">"-150.9"</f>
        <v>-150.9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str">
        <f aca="false">"134-145"</f>
        <v>134-145</v>
      </c>
      <c r="D33" s="0" t="s">
        <v>9</v>
      </c>
      <c r="E33" s="0" t="str">
        <f aca="false">"229-240"</f>
        <v>229-240</v>
      </c>
      <c r="F33" s="0" t="s">
        <v>43</v>
      </c>
      <c r="G33" s="0" t="s">
        <v>9</v>
      </c>
      <c r="H33" s="0" t="str">
        <f aca="false">"132-143"</f>
        <v>132-143</v>
      </c>
      <c r="I33" s="0" t="s">
        <v>9</v>
      </c>
      <c r="J33" s="0" t="str">
        <f aca="false">"104-115"</f>
        <v>104-115</v>
      </c>
      <c r="K33" s="0" t="str">
        <f aca="false">"0.56"</f>
        <v>0.56</v>
      </c>
      <c r="L33" s="0" t="str">
        <f aca="false">"9.78"</f>
        <v>9.78</v>
      </c>
      <c r="M33" s="0" t="str">
        <f aca="false">"-162.6"</f>
        <v>-162.6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tr">
        <f aca="false">"137-148"</f>
        <v>137-148</v>
      </c>
      <c r="D34" s="0" t="s">
        <v>9</v>
      </c>
      <c r="E34" s="0" t="str">
        <f aca="false">"225-236"</f>
        <v>225-236</v>
      </c>
      <c r="F34" s="0" t="s">
        <v>44</v>
      </c>
      <c r="G34" s="0" t="s">
        <v>9</v>
      </c>
      <c r="H34" s="0" t="str">
        <f aca="false">"41-52"</f>
        <v>41-52</v>
      </c>
      <c r="I34" s="0" t="s">
        <v>9</v>
      </c>
      <c r="J34" s="0" t="str">
        <f aca="false">"78-89"</f>
        <v>78-89</v>
      </c>
      <c r="K34" s="0" t="str">
        <f aca="false">"0.70"</f>
        <v>0.70</v>
      </c>
      <c r="L34" s="0" t="str">
        <f aca="false">"9.78"</f>
        <v>9.78</v>
      </c>
      <c r="M34" s="0" t="str">
        <f aca="false">"-150.9"</f>
        <v>-150.9</v>
      </c>
    </row>
    <row r="35" customFormat="false" ht="12.8" hidden="false" customHeight="false" outlineLevel="0" collapsed="false">
      <c r="A35" s="0" t="s">
        <v>8</v>
      </c>
      <c r="B35" s="0" t="s">
        <v>9</v>
      </c>
      <c r="C35" s="0" t="str">
        <f aca="false">"130-141"</f>
        <v>130-141</v>
      </c>
      <c r="D35" s="0" t="s">
        <v>9</v>
      </c>
      <c r="E35" s="0" t="str">
        <f aca="false">"233-244"</f>
        <v>233-244</v>
      </c>
      <c r="F35" s="0" t="s">
        <v>45</v>
      </c>
      <c r="G35" s="0" t="s">
        <v>9</v>
      </c>
      <c r="H35" s="0" t="str">
        <f aca="false">"1737-1748"</f>
        <v>1737-1748</v>
      </c>
      <c r="I35" s="0" t="s">
        <v>9</v>
      </c>
      <c r="J35" s="0" t="str">
        <f aca="false">"1719-1730"</f>
        <v>1719-1730</v>
      </c>
      <c r="K35" s="0" t="str">
        <f aca="false">"0.96"</f>
        <v>0.96</v>
      </c>
      <c r="L35" s="0" t="str">
        <f aca="false">"9.81"</f>
        <v>9.81</v>
      </c>
      <c r="M35" s="0" t="str">
        <f aca="false">"-156.5"</f>
        <v>-156.5</v>
      </c>
    </row>
    <row r="36" customFormat="false" ht="12.8" hidden="false" customHeight="false" outlineLevel="0" collapsed="false">
      <c r="A36" s="0" t="s">
        <v>8</v>
      </c>
      <c r="B36" s="0" t="s">
        <v>9</v>
      </c>
      <c r="C36" s="0" t="str">
        <f aca="false">"137-148"</f>
        <v>137-148</v>
      </c>
      <c r="D36" s="0" t="s">
        <v>9</v>
      </c>
      <c r="E36" s="0" t="str">
        <f aca="false">"226-237"</f>
        <v>226-237</v>
      </c>
      <c r="F36" s="0" t="s">
        <v>46</v>
      </c>
      <c r="G36" s="0" t="s">
        <v>9</v>
      </c>
      <c r="H36" s="0" t="str">
        <f aca="false">"77-88"</f>
        <v>77-88</v>
      </c>
      <c r="I36" s="0" t="s">
        <v>9</v>
      </c>
      <c r="J36" s="0" t="str">
        <f aca="false">"60-71"</f>
        <v>60-71</v>
      </c>
      <c r="K36" s="0" t="str">
        <f aca="false">"1.09"</f>
        <v>1.09</v>
      </c>
      <c r="L36" s="0" t="str">
        <f aca="false">"9.73"</f>
        <v>9.73</v>
      </c>
      <c r="M36" s="0" t="str">
        <f aca="false">"-159.0"</f>
        <v>-159.0</v>
      </c>
    </row>
    <row r="37" customFormat="false" ht="12.8" hidden="false" customHeight="false" outlineLevel="0" collapsed="false">
      <c r="A37" s="0" t="s">
        <v>8</v>
      </c>
      <c r="B37" s="0" t="s">
        <v>9</v>
      </c>
      <c r="C37" s="0" t="str">
        <f aca="false">"134-145"</f>
        <v>134-145</v>
      </c>
      <c r="D37" s="0" t="s">
        <v>9</v>
      </c>
      <c r="E37" s="0" t="str">
        <f aca="false">"229-240"</f>
        <v>229-240</v>
      </c>
      <c r="F37" s="0" t="s">
        <v>47</v>
      </c>
      <c r="G37" s="0" t="s">
        <v>48</v>
      </c>
      <c r="H37" s="0" t="str">
        <f aca="false">"6-17"</f>
        <v>6-17</v>
      </c>
      <c r="I37" s="0" t="s">
        <v>48</v>
      </c>
      <c r="J37" s="0" t="str">
        <f aca="false">"239-250"</f>
        <v>239-250</v>
      </c>
      <c r="K37" s="0" t="str">
        <f aca="false">"0.58"</f>
        <v>0.58</v>
      </c>
      <c r="L37" s="0" t="str">
        <f aca="false">"9.75"</f>
        <v>9.75</v>
      </c>
      <c r="M37" s="0" t="str">
        <f aca="false">"-155.2"</f>
        <v>-155.2</v>
      </c>
    </row>
    <row r="38" customFormat="false" ht="12.8" hidden="false" customHeight="false" outlineLevel="0" collapsed="false">
      <c r="A38" s="0" t="s">
        <v>8</v>
      </c>
      <c r="B38" s="0" t="s">
        <v>9</v>
      </c>
      <c r="C38" s="0" t="str">
        <f aca="false">"134-145"</f>
        <v>134-145</v>
      </c>
      <c r="D38" s="0" t="s">
        <v>9</v>
      </c>
      <c r="E38" s="0" t="str">
        <f aca="false">"229-240"</f>
        <v>229-240</v>
      </c>
      <c r="F38" s="0" t="s">
        <v>49</v>
      </c>
      <c r="G38" s="0" t="s">
        <v>9</v>
      </c>
      <c r="H38" s="0" t="str">
        <f aca="false">"39-50"</f>
        <v>39-50</v>
      </c>
      <c r="I38" s="0" t="s">
        <v>9</v>
      </c>
      <c r="J38" s="0" t="str">
        <f aca="false">"72-83"</f>
        <v>72-83</v>
      </c>
      <c r="K38" s="0" t="str">
        <f aca="false">"0.58"</f>
        <v>0.58</v>
      </c>
      <c r="L38" s="0" t="str">
        <f aca="false">"10.22"</f>
        <v>10.22</v>
      </c>
      <c r="M38" s="0" t="str">
        <f aca="false">"-159.7"</f>
        <v>-159.7</v>
      </c>
    </row>
    <row r="39" customFormat="false" ht="12.8" hidden="false" customHeight="false" outlineLevel="0" collapsed="false">
      <c r="A39" s="0" t="s">
        <v>8</v>
      </c>
      <c r="B39" s="0" t="s">
        <v>9</v>
      </c>
      <c r="C39" s="0" t="str">
        <f aca="false">"137-148"</f>
        <v>137-148</v>
      </c>
      <c r="D39" s="0" t="s">
        <v>9</v>
      </c>
      <c r="E39" s="0" t="str">
        <f aca="false">"225-236"</f>
        <v>225-236</v>
      </c>
      <c r="F39" s="0" t="s">
        <v>50</v>
      </c>
      <c r="G39" s="0" t="s">
        <v>9</v>
      </c>
      <c r="H39" s="0" t="str">
        <f aca="false">"316-327"</f>
        <v>316-327</v>
      </c>
      <c r="I39" s="0" t="s">
        <v>13</v>
      </c>
      <c r="J39" s="0" t="str">
        <f aca="false">"316-327"</f>
        <v>316-327</v>
      </c>
      <c r="K39" s="0" t="str">
        <f aca="false">"0.53"</f>
        <v>0.53</v>
      </c>
      <c r="L39" s="0" t="str">
        <f aca="false">"9.88"</f>
        <v>9.88</v>
      </c>
      <c r="M39" s="0" t="str">
        <f aca="false">"-152.4"</f>
        <v>-152.4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tr">
        <f aca="false">"134-145"</f>
        <v>134-145</v>
      </c>
      <c r="D40" s="0" t="s">
        <v>9</v>
      </c>
      <c r="E40" s="0" t="str">
        <f aca="false">"229-240"</f>
        <v>229-240</v>
      </c>
      <c r="F40" s="0" t="s">
        <v>51</v>
      </c>
      <c r="G40" s="0" t="s">
        <v>9</v>
      </c>
      <c r="H40" s="0" t="str">
        <f aca="false">"82-93"</f>
        <v>82-93</v>
      </c>
      <c r="I40" s="0" t="s">
        <v>9</v>
      </c>
      <c r="J40" s="0" t="str">
        <f aca="false">"41-52"</f>
        <v>41-52</v>
      </c>
      <c r="K40" s="0" t="str">
        <f aca="false">"0.73"</f>
        <v>0.73</v>
      </c>
      <c r="L40" s="0" t="str">
        <f aca="false">"9.54"</f>
        <v>9.54</v>
      </c>
      <c r="M40" s="0" t="str">
        <f aca="false">"-151.4"</f>
        <v>-151.4</v>
      </c>
    </row>
    <row r="41" customFormat="false" ht="12.8" hidden="false" customHeight="false" outlineLevel="0" collapsed="false">
      <c r="A41" s="0" t="s">
        <v>8</v>
      </c>
      <c r="B41" s="0" t="s">
        <v>9</v>
      </c>
      <c r="C41" s="0" t="str">
        <f aca="false">"134-145"</f>
        <v>134-145</v>
      </c>
      <c r="D41" s="0" t="s">
        <v>9</v>
      </c>
      <c r="E41" s="0" t="str">
        <f aca="false">"229-240"</f>
        <v>229-240</v>
      </c>
      <c r="F41" s="0" t="s">
        <v>52</v>
      </c>
      <c r="G41" s="0" t="s">
        <v>53</v>
      </c>
      <c r="H41" s="0" t="str">
        <f aca="false">"35-46"</f>
        <v>35-46</v>
      </c>
      <c r="I41" s="0" t="s">
        <v>53</v>
      </c>
      <c r="J41" s="0" t="str">
        <f aca="false">"66-77"</f>
        <v>66-77</v>
      </c>
      <c r="K41" s="0" t="str">
        <f aca="false">"0.88"</f>
        <v>0.88</v>
      </c>
      <c r="L41" s="0" t="str">
        <f aca="false">"9.96"</f>
        <v>9.96</v>
      </c>
      <c r="M41" s="0" t="str">
        <f aca="false">"-160.7"</f>
        <v>-160.7</v>
      </c>
    </row>
    <row r="42" customFormat="false" ht="12.8" hidden="false" customHeight="false" outlineLevel="0" collapsed="false">
      <c r="A42" s="0" t="s">
        <v>8</v>
      </c>
      <c r="B42" s="0" t="s">
        <v>9</v>
      </c>
      <c r="C42" s="0" t="str">
        <f aca="false">"134-145"</f>
        <v>134-145</v>
      </c>
      <c r="D42" s="0" t="s">
        <v>9</v>
      </c>
      <c r="E42" s="0" t="str">
        <f aca="false">"229-240"</f>
        <v>229-240</v>
      </c>
      <c r="F42" s="0" t="s">
        <v>54</v>
      </c>
      <c r="G42" s="0" t="s">
        <v>55</v>
      </c>
      <c r="H42" s="0" t="str">
        <f aca="false">"35-46"</f>
        <v>35-46</v>
      </c>
      <c r="I42" s="0" t="s">
        <v>55</v>
      </c>
      <c r="J42" s="0" t="str">
        <f aca="false">"66-77"</f>
        <v>66-77</v>
      </c>
      <c r="K42" s="0" t="str">
        <f aca="false">"0.88"</f>
        <v>0.88</v>
      </c>
      <c r="L42" s="0" t="str">
        <f aca="false">"9.96"</f>
        <v>9.96</v>
      </c>
      <c r="M42" s="0" t="str">
        <f aca="false">"-160.7"</f>
        <v>-160.7</v>
      </c>
    </row>
    <row r="43" customFormat="false" ht="12.8" hidden="false" customHeight="false" outlineLevel="0" collapsed="false">
      <c r="A43" s="0" t="s">
        <v>8</v>
      </c>
      <c r="B43" s="0" t="s">
        <v>9</v>
      </c>
      <c r="C43" s="0" t="str">
        <f aca="false">"131-142"</f>
        <v>131-142</v>
      </c>
      <c r="D43" s="0" t="s">
        <v>9</v>
      </c>
      <c r="E43" s="0" t="str">
        <f aca="false">"230-241"</f>
        <v>230-241</v>
      </c>
      <c r="F43" s="0" t="s">
        <v>56</v>
      </c>
      <c r="G43" s="0" t="s">
        <v>13</v>
      </c>
      <c r="H43" s="0" t="str">
        <f aca="false">"271-282"</f>
        <v>271-282</v>
      </c>
      <c r="I43" s="0" t="s">
        <v>13</v>
      </c>
      <c r="J43" s="0" t="str">
        <f aca="false">"287-298"</f>
        <v>287-298</v>
      </c>
      <c r="K43" s="0" t="str">
        <f aca="false">"1.02"</f>
        <v>1.02</v>
      </c>
      <c r="L43" s="0" t="str">
        <f aca="false">"9.63"</f>
        <v>9.63</v>
      </c>
      <c r="M43" s="0" t="str">
        <f aca="false">"-158.4"</f>
        <v>-158.4</v>
      </c>
    </row>
    <row r="44" customFormat="false" ht="12.8" hidden="false" customHeight="false" outlineLevel="0" collapsed="false">
      <c r="A44" s="0" t="s">
        <v>8</v>
      </c>
      <c r="B44" s="0" t="s">
        <v>9</v>
      </c>
      <c r="C44" s="0" t="str">
        <f aca="false">"137-148"</f>
        <v>137-148</v>
      </c>
      <c r="D44" s="0" t="s">
        <v>9</v>
      </c>
      <c r="E44" s="0" t="str">
        <f aca="false">"225-236"</f>
        <v>225-236</v>
      </c>
      <c r="F44" s="0" t="s">
        <v>57</v>
      </c>
      <c r="G44" s="0" t="s">
        <v>13</v>
      </c>
      <c r="H44" s="0" t="str">
        <f aca="false">"31-42"</f>
        <v>31-42</v>
      </c>
      <c r="I44" s="0" t="s">
        <v>9</v>
      </c>
      <c r="J44" s="0" t="str">
        <f aca="false">"29-40"</f>
        <v>29-40</v>
      </c>
      <c r="K44" s="0" t="str">
        <f aca="false">"1.07"</f>
        <v>1.07</v>
      </c>
      <c r="L44" s="0" t="str">
        <f aca="false">"10.51"</f>
        <v>10.51</v>
      </c>
      <c r="M44" s="0" t="str">
        <f aca="false">"-155.9"</f>
        <v>-155.9</v>
      </c>
    </row>
    <row r="45" customFormat="false" ht="12.8" hidden="false" customHeight="false" outlineLevel="0" collapsed="false">
      <c r="A45" s="0" t="s">
        <v>8</v>
      </c>
      <c r="B45" s="0" t="s">
        <v>9</v>
      </c>
      <c r="C45" s="0" t="str">
        <f aca="false">"137-148"</f>
        <v>137-148</v>
      </c>
      <c r="D45" s="0" t="s">
        <v>9</v>
      </c>
      <c r="E45" s="0" t="str">
        <f aca="false">"226-237"</f>
        <v>226-237</v>
      </c>
      <c r="F45" s="0" t="s">
        <v>58</v>
      </c>
      <c r="G45" s="0" t="s">
        <v>9</v>
      </c>
      <c r="H45" s="0" t="str">
        <f aca="false">"95-106"</f>
        <v>95-106</v>
      </c>
      <c r="I45" s="0" t="s">
        <v>9</v>
      </c>
      <c r="J45" s="0" t="str">
        <f aca="false">"10-21"</f>
        <v>10-21</v>
      </c>
      <c r="K45" s="0" t="str">
        <f aca="false">"1.18"</f>
        <v>1.18</v>
      </c>
      <c r="L45" s="0" t="str">
        <f aca="false">"10.21"</f>
        <v>10.21</v>
      </c>
      <c r="M45" s="0" t="str">
        <f aca="false">"-151.3"</f>
        <v>-151.3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tr">
        <f aca="false">"130-141"</f>
        <v>130-141</v>
      </c>
      <c r="D46" s="0" t="s">
        <v>9</v>
      </c>
      <c r="E46" s="0" t="str">
        <f aca="false">"232-243"</f>
        <v>232-243</v>
      </c>
      <c r="F46" s="0" t="s">
        <v>59</v>
      </c>
      <c r="G46" s="0" t="s">
        <v>13</v>
      </c>
      <c r="H46" s="0" t="str">
        <f aca="false">"38-49"</f>
        <v>38-49</v>
      </c>
      <c r="I46" s="0" t="s">
        <v>13</v>
      </c>
      <c r="J46" s="0" t="str">
        <f aca="false">"225-236"</f>
        <v>225-236</v>
      </c>
      <c r="K46" s="0" t="str">
        <f aca="false">"1.19"</f>
        <v>1.19</v>
      </c>
      <c r="L46" s="0" t="str">
        <f aca="false">"10.42"</f>
        <v>10.42</v>
      </c>
      <c r="M46" s="0" t="str">
        <f aca="false">"-171.8"</f>
        <v>-171.8</v>
      </c>
    </row>
    <row r="47" customFormat="false" ht="12.8" hidden="false" customHeight="false" outlineLevel="0" collapsed="false">
      <c r="A47" s="0" t="s">
        <v>8</v>
      </c>
      <c r="B47" s="0" t="s">
        <v>9</v>
      </c>
      <c r="C47" s="0" t="str">
        <f aca="false">"131-142"</f>
        <v>131-142</v>
      </c>
      <c r="D47" s="0" t="s">
        <v>9</v>
      </c>
      <c r="E47" s="0" t="str">
        <f aca="false">"233-244"</f>
        <v>233-244</v>
      </c>
      <c r="F47" s="0" t="s">
        <v>60</v>
      </c>
      <c r="G47" s="0" t="s">
        <v>9</v>
      </c>
      <c r="H47" s="0" t="str">
        <f aca="false">"132-143"</f>
        <v>132-143</v>
      </c>
      <c r="I47" s="0" t="s">
        <v>9</v>
      </c>
      <c r="J47" s="0" t="str">
        <f aca="false">"179-190"</f>
        <v>179-190</v>
      </c>
      <c r="K47" s="0" t="str">
        <f aca="false">"0.84"</f>
        <v>0.84</v>
      </c>
      <c r="L47" s="0" t="str">
        <f aca="false">"10.07"</f>
        <v>10.07</v>
      </c>
      <c r="M47" s="0" t="str">
        <f aca="false">"-149.8"</f>
        <v>-149.8</v>
      </c>
    </row>
    <row r="48" customFormat="false" ht="12.8" hidden="false" customHeight="false" outlineLevel="0" collapsed="false">
      <c r="A48" s="0" t="s">
        <v>8</v>
      </c>
      <c r="B48" s="0" t="s">
        <v>9</v>
      </c>
      <c r="C48" s="0" t="str">
        <f aca="false">"137-148"</f>
        <v>137-148</v>
      </c>
      <c r="D48" s="0" t="s">
        <v>9</v>
      </c>
      <c r="E48" s="0" t="str">
        <f aca="false">"225-236"</f>
        <v>225-236</v>
      </c>
      <c r="F48" s="0" t="s">
        <v>61</v>
      </c>
      <c r="G48" s="0" t="s">
        <v>62</v>
      </c>
      <c r="H48" s="0" t="str">
        <f aca="false">"37-48"</f>
        <v>37-48</v>
      </c>
      <c r="I48" s="0" t="s">
        <v>9</v>
      </c>
      <c r="J48" s="0" t="str">
        <f aca="false">"37-48"</f>
        <v>37-48</v>
      </c>
      <c r="K48" s="0" t="str">
        <f aca="false">"1.11"</f>
        <v>1.11</v>
      </c>
      <c r="L48" s="0" t="str">
        <f aca="false">"10.30"</f>
        <v>10.30</v>
      </c>
      <c r="M48" s="0" t="str">
        <f aca="false">"-159.1"</f>
        <v>-159.1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str">
        <f aca="false">"134-145"</f>
        <v>134-145</v>
      </c>
      <c r="D49" s="0" t="s">
        <v>9</v>
      </c>
      <c r="E49" s="0" t="str">
        <f aca="false">"229-240"</f>
        <v>229-240</v>
      </c>
      <c r="F49" s="0" t="s">
        <v>63</v>
      </c>
      <c r="G49" s="0" t="s">
        <v>9</v>
      </c>
      <c r="H49" s="0" t="str">
        <f aca="false">"156-167"</f>
        <v>156-167</v>
      </c>
      <c r="I49" s="0" t="s">
        <v>9</v>
      </c>
      <c r="J49" s="0" t="str">
        <f aca="false">"122-133"</f>
        <v>122-133</v>
      </c>
      <c r="K49" s="0" t="str">
        <f aca="false">"0.80"</f>
        <v>0.80</v>
      </c>
      <c r="L49" s="0" t="str">
        <f aca="false">"9.61"</f>
        <v>9.61</v>
      </c>
      <c r="M49" s="0" t="str">
        <f aca="false">"-153.0"</f>
        <v>-153.0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tr">
        <f aca="false">"131-142"</f>
        <v>131-142</v>
      </c>
      <c r="D50" s="0" t="s">
        <v>9</v>
      </c>
      <c r="E50" s="0" t="str">
        <f aca="false">"230-241"</f>
        <v>230-241</v>
      </c>
      <c r="F50" s="0" t="s">
        <v>64</v>
      </c>
      <c r="G50" s="0" t="s">
        <v>13</v>
      </c>
      <c r="H50" s="0" t="str">
        <f aca="false">"61-72"</f>
        <v>61-72</v>
      </c>
      <c r="I50" s="0" t="s">
        <v>13</v>
      </c>
      <c r="J50" s="0" t="str">
        <f aca="false">"77-88"</f>
        <v>77-88</v>
      </c>
      <c r="K50" s="0" t="str">
        <f aca="false">"0.56"</f>
        <v>0.56</v>
      </c>
      <c r="L50" s="0" t="str">
        <f aca="false">"10.32"</f>
        <v>10.32</v>
      </c>
      <c r="M50" s="0" t="str">
        <f aca="false">"-153.9"</f>
        <v>-153.9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0" t="str">
        <f aca="false">"134-145"</f>
        <v>134-145</v>
      </c>
      <c r="D51" s="0" t="s">
        <v>9</v>
      </c>
      <c r="E51" s="0" t="str">
        <f aca="false">"229-240"</f>
        <v>229-240</v>
      </c>
      <c r="F51" s="0" t="s">
        <v>65</v>
      </c>
      <c r="G51" s="0" t="s">
        <v>9</v>
      </c>
      <c r="H51" s="0" t="str">
        <f aca="false">"158-169"</f>
        <v>158-169</v>
      </c>
      <c r="I51" s="0" t="s">
        <v>9</v>
      </c>
      <c r="J51" s="0" t="str">
        <f aca="false">"189-200"</f>
        <v>189-200</v>
      </c>
      <c r="K51" s="0" t="str">
        <f aca="false">"1.01"</f>
        <v>1.01</v>
      </c>
      <c r="L51" s="0" t="str">
        <f aca="false">"10.16"</f>
        <v>10.16</v>
      </c>
      <c r="M51" s="0" t="str">
        <f aca="false">"-168.1"</f>
        <v>-168.1</v>
      </c>
    </row>
    <row r="52" customFormat="false" ht="12.8" hidden="false" customHeight="false" outlineLevel="0" collapsed="false">
      <c r="A52" s="0" t="s">
        <v>8</v>
      </c>
      <c r="B52" s="0" t="s">
        <v>9</v>
      </c>
      <c r="C52" s="0" t="str">
        <f aca="false">"131-142"</f>
        <v>131-142</v>
      </c>
      <c r="D52" s="0" t="s">
        <v>9</v>
      </c>
      <c r="E52" s="0" t="str">
        <f aca="false">"229-240"</f>
        <v>229-240</v>
      </c>
      <c r="F52" s="0" t="s">
        <v>66</v>
      </c>
      <c r="G52" s="0" t="s">
        <v>13</v>
      </c>
      <c r="H52" s="0" t="str">
        <f aca="false">"56-67"</f>
        <v>56-67</v>
      </c>
      <c r="I52" s="0" t="s">
        <v>13</v>
      </c>
      <c r="J52" s="0" t="str">
        <f aca="false">"36-47"</f>
        <v>36-47</v>
      </c>
      <c r="K52" s="0" t="str">
        <f aca="false">"0.84"</f>
        <v>0.84</v>
      </c>
      <c r="L52" s="0" t="str">
        <f aca="false">"10.09"</f>
        <v>10.09</v>
      </c>
      <c r="M52" s="0" t="str">
        <f aca="false">"-158.3"</f>
        <v>-158.3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tr">
        <f aca="false">"134-145"</f>
        <v>134-145</v>
      </c>
      <c r="D53" s="0" t="s">
        <v>9</v>
      </c>
      <c r="E53" s="0" t="str">
        <f aca="false">"229-240"</f>
        <v>229-240</v>
      </c>
      <c r="F53" s="0" t="s">
        <v>67</v>
      </c>
      <c r="G53" s="0" t="s">
        <v>9</v>
      </c>
      <c r="H53" s="0" t="str">
        <f aca="false">"114-125"</f>
        <v>114-125</v>
      </c>
      <c r="I53" s="0" t="s">
        <v>9</v>
      </c>
      <c r="J53" s="0" t="str">
        <f aca="false">"154-165"</f>
        <v>154-165</v>
      </c>
      <c r="K53" s="0" t="str">
        <f aca="false">"0.47"</f>
        <v>0.47</v>
      </c>
      <c r="L53" s="0" t="str">
        <f aca="false">"9.69"</f>
        <v>9.69</v>
      </c>
      <c r="M53" s="0" t="str">
        <f aca="false">"-159.7"</f>
        <v>-159.7</v>
      </c>
    </row>
    <row r="54" customFormat="false" ht="12.8" hidden="false" customHeight="false" outlineLevel="0" collapsed="false">
      <c r="A54" s="0" t="s">
        <v>8</v>
      </c>
      <c r="B54" s="0" t="s">
        <v>9</v>
      </c>
      <c r="C54" s="0" t="str">
        <f aca="false">"134-145"</f>
        <v>134-145</v>
      </c>
      <c r="D54" s="0" t="s">
        <v>9</v>
      </c>
      <c r="E54" s="0" t="str">
        <f aca="false">"229-240"</f>
        <v>229-240</v>
      </c>
      <c r="F54" s="0" t="s">
        <v>68</v>
      </c>
      <c r="G54" s="0" t="s">
        <v>9</v>
      </c>
      <c r="H54" s="0" t="str">
        <f aca="false">"567-578"</f>
        <v>567-578</v>
      </c>
      <c r="I54" s="0" t="s">
        <v>9</v>
      </c>
      <c r="J54" s="0" t="str">
        <f aca="false">"536-547"</f>
        <v>536-547</v>
      </c>
      <c r="K54" s="0" t="str">
        <f aca="false">"0.73"</f>
        <v>0.73</v>
      </c>
      <c r="L54" s="0" t="str">
        <f aca="false">"10.29"</f>
        <v>10.29</v>
      </c>
      <c r="M54" s="0" t="str">
        <f aca="false">"-158.1"</f>
        <v>-158.1</v>
      </c>
    </row>
    <row r="55" customFormat="false" ht="12.8" hidden="false" customHeight="false" outlineLevel="0" collapsed="false">
      <c r="A55" s="0" t="s">
        <v>8</v>
      </c>
      <c r="B55" s="0" t="s">
        <v>9</v>
      </c>
      <c r="C55" s="0" t="str">
        <f aca="false">"134-145"</f>
        <v>134-145</v>
      </c>
      <c r="D55" s="0" t="s">
        <v>9</v>
      </c>
      <c r="E55" s="0" t="str">
        <f aca="false">"229-240"</f>
        <v>229-240</v>
      </c>
      <c r="F55" s="0" t="s">
        <v>69</v>
      </c>
      <c r="G55" s="0" t="s">
        <v>70</v>
      </c>
      <c r="H55" s="0" t="str">
        <f aca="false">"636-647"</f>
        <v>636-647</v>
      </c>
      <c r="I55" s="0" t="s">
        <v>71</v>
      </c>
      <c r="J55" s="0" t="str">
        <f aca="false">"556-567"</f>
        <v>556-567</v>
      </c>
      <c r="K55" s="0" t="str">
        <f aca="false">"0.78"</f>
        <v>0.78</v>
      </c>
      <c r="L55" s="0" t="str">
        <f aca="false">"9.36"</f>
        <v>9.36</v>
      </c>
      <c r="M55" s="0" t="str">
        <f aca="false">"-161.0"</f>
        <v>-161.0</v>
      </c>
    </row>
    <row r="56" customFormat="false" ht="12.8" hidden="false" customHeight="false" outlineLevel="0" collapsed="false">
      <c r="A56" s="0" t="s">
        <v>8</v>
      </c>
      <c r="B56" s="0" t="s">
        <v>9</v>
      </c>
      <c r="C56" s="0" t="str">
        <f aca="false">"137-148"</f>
        <v>137-148</v>
      </c>
      <c r="D56" s="0" t="s">
        <v>9</v>
      </c>
      <c r="E56" s="0" t="str">
        <f aca="false">"225-236"</f>
        <v>225-236</v>
      </c>
      <c r="F56" s="0" t="s">
        <v>72</v>
      </c>
      <c r="G56" s="0" t="s">
        <v>13</v>
      </c>
      <c r="H56" s="0" t="str">
        <f aca="false">"458-469"</f>
        <v>458-469</v>
      </c>
      <c r="I56" s="0" t="s">
        <v>13</v>
      </c>
      <c r="J56" s="0" t="str">
        <f aca="false">"280-291"</f>
        <v>280-291</v>
      </c>
      <c r="K56" s="0" t="str">
        <f aca="false">"0.82"</f>
        <v>0.82</v>
      </c>
      <c r="L56" s="0" t="str">
        <f aca="false">"9.82"</f>
        <v>9.82</v>
      </c>
      <c r="M56" s="0" t="str">
        <f aca="false">"-143.0"</f>
        <v>-143.0</v>
      </c>
    </row>
    <row r="57" customFormat="false" ht="12.8" hidden="false" customHeight="false" outlineLevel="0" collapsed="false">
      <c r="A57" s="0" t="s">
        <v>8</v>
      </c>
      <c r="B57" s="0" t="s">
        <v>9</v>
      </c>
      <c r="C57" s="0" t="str">
        <f aca="false">"134-145"</f>
        <v>134-145</v>
      </c>
      <c r="D57" s="0" t="s">
        <v>9</v>
      </c>
      <c r="E57" s="0" t="str">
        <f aca="false">"229-240"</f>
        <v>229-240</v>
      </c>
      <c r="F57" s="0" t="s">
        <v>73</v>
      </c>
      <c r="G57" s="0" t="s">
        <v>9</v>
      </c>
      <c r="H57" s="0" t="str">
        <f aca="false">"4-15"</f>
        <v>4-15</v>
      </c>
      <c r="I57" s="0" t="s">
        <v>9</v>
      </c>
      <c r="J57" s="0" t="str">
        <f aca="false">"100-111"</f>
        <v>100-111</v>
      </c>
      <c r="K57" s="0" t="str">
        <f aca="false">"0.68"</f>
        <v>0.68</v>
      </c>
      <c r="L57" s="0" t="str">
        <f aca="false">"10.11"</f>
        <v>10.11</v>
      </c>
      <c r="M57" s="0" t="str">
        <f aca="false">"-157.5"</f>
        <v>-157.5</v>
      </c>
    </row>
    <row r="58" customFormat="false" ht="12.8" hidden="false" customHeight="false" outlineLevel="0" collapsed="false">
      <c r="A58" s="0" t="s">
        <v>8</v>
      </c>
      <c r="B58" s="0" t="s">
        <v>9</v>
      </c>
      <c r="C58" s="0" t="str">
        <f aca="false">"134-145"</f>
        <v>134-145</v>
      </c>
      <c r="D58" s="0" t="s">
        <v>9</v>
      </c>
      <c r="E58" s="0" t="str">
        <f aca="false">"229-240"</f>
        <v>229-240</v>
      </c>
      <c r="F58" s="0" t="s">
        <v>74</v>
      </c>
      <c r="G58" s="0" t="s">
        <v>13</v>
      </c>
      <c r="H58" s="0" t="str">
        <f aca="false">"76-87"</f>
        <v>76-87</v>
      </c>
      <c r="I58" s="0" t="s">
        <v>13</v>
      </c>
      <c r="J58" s="0" t="str">
        <f aca="false">"114-125"</f>
        <v>114-125</v>
      </c>
      <c r="K58" s="0" t="str">
        <f aca="false">"0.57"</f>
        <v>0.57</v>
      </c>
      <c r="L58" s="0" t="str">
        <f aca="false">"9.57"</f>
        <v>9.57</v>
      </c>
      <c r="M58" s="0" t="str">
        <f aca="false">"-155.8"</f>
        <v>-155.8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tr">
        <f aca="false">"134-145"</f>
        <v>134-145</v>
      </c>
      <c r="D59" s="0" t="s">
        <v>9</v>
      </c>
      <c r="E59" s="0" t="str">
        <f aca="false">"229-240"</f>
        <v>229-240</v>
      </c>
      <c r="F59" s="0" t="s">
        <v>75</v>
      </c>
      <c r="G59" s="0" t="s">
        <v>9</v>
      </c>
      <c r="H59" s="0" t="str">
        <f aca="false">"291-302"</f>
        <v>291-302</v>
      </c>
      <c r="I59" s="0" t="s">
        <v>9</v>
      </c>
      <c r="J59" s="0" t="str">
        <f aca="false">"551-562"</f>
        <v>551-562</v>
      </c>
      <c r="K59" s="0" t="str">
        <f aca="false">"1.24"</f>
        <v>1.24</v>
      </c>
      <c r="L59" s="0" t="str">
        <f aca="false">"10.34"</f>
        <v>10.34</v>
      </c>
      <c r="M59" s="0" t="str">
        <f aca="false">"-155.2"</f>
        <v>-155.2</v>
      </c>
    </row>
    <row r="60" customFormat="false" ht="12.8" hidden="false" customHeight="false" outlineLevel="0" collapsed="false">
      <c r="A60" s="0" t="s">
        <v>8</v>
      </c>
      <c r="B60" s="0" t="s">
        <v>9</v>
      </c>
      <c r="C60" s="0" t="str">
        <f aca="false">"127-138"</f>
        <v>127-138</v>
      </c>
      <c r="D60" s="0" t="s">
        <v>9</v>
      </c>
      <c r="E60" s="0" t="str">
        <f aca="false">"233-244"</f>
        <v>233-244</v>
      </c>
      <c r="F60" s="0" t="s">
        <v>76</v>
      </c>
      <c r="G60" s="0" t="s">
        <v>9</v>
      </c>
      <c r="H60" s="0" t="str">
        <f aca="false">"26-37"</f>
        <v>26-37</v>
      </c>
      <c r="I60" s="0" t="s">
        <v>9</v>
      </c>
      <c r="J60" s="0" t="str">
        <f aca="false">"46-57"</f>
        <v>46-57</v>
      </c>
      <c r="K60" s="0" t="str">
        <f aca="false">"0.77"</f>
        <v>0.77</v>
      </c>
      <c r="L60" s="0" t="str">
        <f aca="false">"10.05"</f>
        <v>10.05</v>
      </c>
      <c r="M60" s="0" t="str">
        <f aca="false">"-154.9"</f>
        <v>-154.9</v>
      </c>
    </row>
    <row r="61" customFormat="false" ht="12.8" hidden="false" customHeight="false" outlineLevel="0" collapsed="false">
      <c r="A61" s="0" t="s">
        <v>8</v>
      </c>
      <c r="B61" s="0" t="s">
        <v>9</v>
      </c>
      <c r="C61" s="0" t="str">
        <f aca="false">"134-145"</f>
        <v>134-145</v>
      </c>
      <c r="D61" s="0" t="s">
        <v>9</v>
      </c>
      <c r="E61" s="0" t="str">
        <f aca="false">"229-240"</f>
        <v>229-240</v>
      </c>
      <c r="F61" s="0" t="s">
        <v>77</v>
      </c>
      <c r="G61" s="0" t="s">
        <v>9</v>
      </c>
      <c r="H61" s="0" t="str">
        <f aca="false">"76-87"</f>
        <v>76-87</v>
      </c>
      <c r="I61" s="0" t="s">
        <v>13</v>
      </c>
      <c r="J61" s="0" t="str">
        <f aca="false">"69-80"</f>
        <v>69-80</v>
      </c>
      <c r="K61" s="0" t="str">
        <f aca="false">"0.45"</f>
        <v>0.45</v>
      </c>
      <c r="L61" s="0" t="str">
        <f aca="false">"10.01"</f>
        <v>10.01</v>
      </c>
      <c r="M61" s="0" t="str">
        <f aca="false">"-155.1"</f>
        <v>-155.1</v>
      </c>
    </row>
    <row r="62" customFormat="false" ht="12.8" hidden="false" customHeight="false" outlineLevel="0" collapsed="false">
      <c r="A62" s="0" t="s">
        <v>8</v>
      </c>
      <c r="B62" s="0" t="s">
        <v>9</v>
      </c>
      <c r="C62" s="0" t="str">
        <f aca="false">"128-139"</f>
        <v>128-139</v>
      </c>
      <c r="D62" s="0" t="s">
        <v>9</v>
      </c>
      <c r="E62" s="0" t="str">
        <f aca="false">"233-244"</f>
        <v>233-244</v>
      </c>
      <c r="F62" s="0" t="s">
        <v>78</v>
      </c>
      <c r="G62" s="0" t="s">
        <v>9</v>
      </c>
      <c r="H62" s="0" t="str">
        <f aca="false">"163-174"</f>
        <v>163-174</v>
      </c>
      <c r="I62" s="0" t="s">
        <v>9</v>
      </c>
      <c r="J62" s="0" t="str">
        <f aca="false">"141-152"</f>
        <v>141-152</v>
      </c>
      <c r="K62" s="0" t="str">
        <f aca="false">"1.03"</f>
        <v>1.03</v>
      </c>
      <c r="L62" s="0" t="str">
        <f aca="false">"10.76"</f>
        <v>10.76</v>
      </c>
      <c r="M62" s="0" t="str">
        <f aca="false">"-145.6"</f>
        <v>-145.6</v>
      </c>
    </row>
    <row r="63" customFormat="false" ht="12.8" hidden="false" customHeight="false" outlineLevel="0" collapsed="false">
      <c r="A63" s="0" t="s">
        <v>8</v>
      </c>
      <c r="B63" s="0" t="s">
        <v>9</v>
      </c>
      <c r="C63" s="0" t="str">
        <f aca="false">"134-145"</f>
        <v>134-145</v>
      </c>
      <c r="D63" s="0" t="s">
        <v>9</v>
      </c>
      <c r="E63" s="0" t="str">
        <f aca="false">"229-240"</f>
        <v>229-240</v>
      </c>
      <c r="F63" s="0" t="s">
        <v>79</v>
      </c>
      <c r="G63" s="0" t="s">
        <v>9</v>
      </c>
      <c r="H63" s="0" t="str">
        <f aca="false">"95-106"</f>
        <v>95-106</v>
      </c>
      <c r="I63" s="0" t="s">
        <v>9</v>
      </c>
      <c r="J63" s="0" t="str">
        <f aca="false">"125-136"</f>
        <v>125-136</v>
      </c>
      <c r="K63" s="0" t="str">
        <f aca="false">"0.88"</f>
        <v>0.88</v>
      </c>
      <c r="L63" s="0" t="str">
        <f aca="false">"9.58"</f>
        <v>9.58</v>
      </c>
      <c r="M63" s="0" t="str">
        <f aca="false">"-156.0"</f>
        <v>-156.0</v>
      </c>
    </row>
    <row r="64" customFormat="false" ht="12.8" hidden="false" customHeight="false" outlineLevel="0" collapsed="false">
      <c r="A64" s="0" t="s">
        <v>8</v>
      </c>
      <c r="B64" s="0" t="s">
        <v>9</v>
      </c>
      <c r="C64" s="0" t="str">
        <f aca="false">"130-141"</f>
        <v>130-141</v>
      </c>
      <c r="D64" s="0" t="s">
        <v>9</v>
      </c>
      <c r="E64" s="0" t="str">
        <f aca="false">"233-244"</f>
        <v>233-244</v>
      </c>
      <c r="F64" s="0" t="s">
        <v>80</v>
      </c>
      <c r="G64" s="0" t="s">
        <v>9</v>
      </c>
      <c r="H64" s="0" t="str">
        <f aca="false">"92-103"</f>
        <v>92-103</v>
      </c>
      <c r="I64" s="0" t="s">
        <v>9</v>
      </c>
      <c r="J64" s="0" t="str">
        <f aca="false">"113-124"</f>
        <v>113-124</v>
      </c>
      <c r="K64" s="0" t="str">
        <f aca="false">"0.70"</f>
        <v>0.70</v>
      </c>
      <c r="L64" s="0" t="str">
        <f aca="false">"10.19"</f>
        <v>10.19</v>
      </c>
      <c r="M64" s="0" t="str">
        <f aca="false">"-152.4"</f>
        <v>-152.4</v>
      </c>
    </row>
    <row r="65" customFormat="false" ht="12.8" hidden="false" customHeight="false" outlineLevel="0" collapsed="false">
      <c r="A65" s="0" t="s">
        <v>8</v>
      </c>
      <c r="B65" s="0" t="s">
        <v>9</v>
      </c>
      <c r="C65" s="0" t="str">
        <f aca="false">"134-145"</f>
        <v>134-145</v>
      </c>
      <c r="D65" s="0" t="s">
        <v>9</v>
      </c>
      <c r="E65" s="0" t="str">
        <f aca="false">"229-240"</f>
        <v>229-240</v>
      </c>
      <c r="F65" s="0" t="s">
        <v>81</v>
      </c>
      <c r="G65" s="0" t="s">
        <v>9</v>
      </c>
      <c r="H65" s="0" t="str">
        <f aca="false">"21-32"</f>
        <v>21-32</v>
      </c>
      <c r="I65" s="0" t="s">
        <v>9</v>
      </c>
      <c r="J65" s="0" t="str">
        <f aca="false">"103-114"</f>
        <v>103-114</v>
      </c>
      <c r="K65" s="0" t="str">
        <f aca="false">"0.63"</f>
        <v>0.63</v>
      </c>
      <c r="L65" s="0" t="str">
        <f aca="false">"9.49"</f>
        <v>9.49</v>
      </c>
      <c r="M65" s="0" t="str">
        <f aca="false">"-160.6"</f>
        <v>-160.6</v>
      </c>
    </row>
    <row r="66" customFormat="false" ht="12.8" hidden="false" customHeight="false" outlineLevel="0" collapsed="false">
      <c r="A66" s="0" t="s">
        <v>8</v>
      </c>
      <c r="B66" s="0" t="s">
        <v>9</v>
      </c>
      <c r="C66" s="0" t="str">
        <f aca="false">"134-145"</f>
        <v>134-145</v>
      </c>
      <c r="D66" s="0" t="s">
        <v>9</v>
      </c>
      <c r="E66" s="0" t="str">
        <f aca="false">"229-240"</f>
        <v>229-240</v>
      </c>
      <c r="F66" s="0" t="s">
        <v>82</v>
      </c>
      <c r="G66" s="0" t="s">
        <v>13</v>
      </c>
      <c r="H66" s="0" t="str">
        <f aca="false">"986-997"</f>
        <v>986-997</v>
      </c>
      <c r="I66" s="0" t="s">
        <v>13</v>
      </c>
      <c r="J66" s="0" t="str">
        <f aca="false">"1023-1034"</f>
        <v>1023-1034</v>
      </c>
      <c r="K66" s="0" t="str">
        <f aca="false">"0.77"</f>
        <v>0.77</v>
      </c>
      <c r="L66" s="0" t="str">
        <f aca="false">"9.14"</f>
        <v>9.14</v>
      </c>
      <c r="M66" s="0" t="str">
        <f aca="false">"-167.0"</f>
        <v>-167.0</v>
      </c>
    </row>
    <row r="67" customFormat="false" ht="12.8" hidden="false" customHeight="false" outlineLevel="0" collapsed="false">
      <c r="A67" s="0" t="s">
        <v>8</v>
      </c>
      <c r="B67" s="0" t="s">
        <v>9</v>
      </c>
      <c r="C67" s="0" t="str">
        <f aca="false">"133-144"</f>
        <v>133-144</v>
      </c>
      <c r="D67" s="0" t="s">
        <v>9</v>
      </c>
      <c r="E67" s="0" t="str">
        <f aca="false">"230-241"</f>
        <v>230-241</v>
      </c>
      <c r="F67" s="0" t="s">
        <v>83</v>
      </c>
      <c r="G67" s="0" t="s">
        <v>9</v>
      </c>
      <c r="H67" s="0" t="str">
        <f aca="false">"693-704"</f>
        <v>693-704</v>
      </c>
      <c r="I67" s="0" t="s">
        <v>9</v>
      </c>
      <c r="J67" s="0" t="str">
        <f aca="false">"707-718"</f>
        <v>707-718</v>
      </c>
      <c r="K67" s="0" t="str">
        <f aca="false">"0.86"</f>
        <v>0.86</v>
      </c>
      <c r="L67" s="0" t="str">
        <f aca="false">"9.23"</f>
        <v>9.23</v>
      </c>
      <c r="M67" s="0" t="str">
        <f aca="false">"-157.7"</f>
        <v>-157.7</v>
      </c>
    </row>
    <row r="68" customFormat="false" ht="12.8" hidden="false" customHeight="false" outlineLevel="0" collapsed="false">
      <c r="A68" s="0" t="s">
        <v>8</v>
      </c>
      <c r="B68" s="0" t="s">
        <v>9</v>
      </c>
      <c r="C68" s="0" t="str">
        <f aca="false">"134-145"</f>
        <v>134-145</v>
      </c>
      <c r="D68" s="0" t="s">
        <v>9</v>
      </c>
      <c r="E68" s="0" t="str">
        <f aca="false">"229-240"</f>
        <v>229-240</v>
      </c>
      <c r="F68" s="0" t="s">
        <v>84</v>
      </c>
      <c r="G68" s="0" t="s">
        <v>9</v>
      </c>
      <c r="H68" s="0" t="str">
        <f aca="false">"12-23"</f>
        <v>12-23</v>
      </c>
      <c r="I68" s="0" t="s">
        <v>9</v>
      </c>
      <c r="J68" s="0" t="str">
        <f aca="false">"67-78"</f>
        <v>67-78</v>
      </c>
      <c r="K68" s="0" t="str">
        <f aca="false">"0.67"</f>
        <v>0.67</v>
      </c>
      <c r="L68" s="0" t="str">
        <f aca="false">"9.25"</f>
        <v>9.25</v>
      </c>
      <c r="M68" s="0" t="str">
        <f aca="false">"-153.4"</f>
        <v>-153.4</v>
      </c>
    </row>
    <row r="69" customFormat="false" ht="12.8" hidden="false" customHeight="false" outlineLevel="0" collapsed="false">
      <c r="A69" s="0" t="s">
        <v>8</v>
      </c>
      <c r="B69" s="0" t="s">
        <v>9</v>
      </c>
      <c r="C69" s="0" t="str">
        <f aca="false">"134-145"</f>
        <v>134-145</v>
      </c>
      <c r="D69" s="0" t="s">
        <v>9</v>
      </c>
      <c r="E69" s="0" t="str">
        <f aca="false">"229-240"</f>
        <v>229-240</v>
      </c>
      <c r="F69" s="0" t="s">
        <v>85</v>
      </c>
      <c r="G69" s="0" t="s">
        <v>13</v>
      </c>
      <c r="H69" s="0" t="str">
        <f aca="false">"28-39"</f>
        <v>28-39</v>
      </c>
      <c r="I69" s="0" t="s">
        <v>13</v>
      </c>
      <c r="J69" s="0" t="str">
        <f aca="false">"111-122"</f>
        <v>111-122</v>
      </c>
      <c r="K69" s="0" t="str">
        <f aca="false">"0.43"</f>
        <v>0.43</v>
      </c>
      <c r="L69" s="0" t="str">
        <f aca="false">"9.81"</f>
        <v>9.81</v>
      </c>
      <c r="M69" s="0" t="str">
        <f aca="false">"-156.6"</f>
        <v>-156.6</v>
      </c>
    </row>
    <row r="70" customFormat="false" ht="12.8" hidden="false" customHeight="false" outlineLevel="0" collapsed="false">
      <c r="A70" s="0" t="s">
        <v>8</v>
      </c>
      <c r="B70" s="0" t="s">
        <v>9</v>
      </c>
      <c r="C70" s="0" t="str">
        <f aca="false">"134-145"</f>
        <v>134-145</v>
      </c>
      <c r="D70" s="0" t="s">
        <v>9</v>
      </c>
      <c r="E70" s="0" t="str">
        <f aca="false">"229-240"</f>
        <v>229-240</v>
      </c>
      <c r="F70" s="0" t="s">
        <v>86</v>
      </c>
      <c r="G70" s="0" t="s">
        <v>9</v>
      </c>
      <c r="H70" s="0" t="str">
        <f aca="false">"1245-1256"</f>
        <v>1245-1256</v>
      </c>
      <c r="I70" s="0" t="s">
        <v>9</v>
      </c>
      <c r="J70" s="0" t="str">
        <f aca="false">"1285-1296"</f>
        <v>1285-1296</v>
      </c>
      <c r="K70" s="0" t="str">
        <f aca="false">"1.20"</f>
        <v>1.20</v>
      </c>
      <c r="L70" s="0" t="str">
        <f aca="false">"9.82"</f>
        <v>9.82</v>
      </c>
      <c r="M70" s="0" t="str">
        <f aca="false">"-139.9"</f>
        <v>-139.9</v>
      </c>
    </row>
    <row r="71" customFormat="false" ht="12.8" hidden="false" customHeight="false" outlineLevel="0" collapsed="false">
      <c r="A71" s="0" t="s">
        <v>8</v>
      </c>
      <c r="B71" s="0" t="s">
        <v>9</v>
      </c>
      <c r="C71" s="0" t="str">
        <f aca="false">"134-145"</f>
        <v>134-145</v>
      </c>
      <c r="D71" s="0" t="s">
        <v>9</v>
      </c>
      <c r="E71" s="0" t="str">
        <f aca="false">"229-240"</f>
        <v>229-240</v>
      </c>
      <c r="F71" s="0" t="s">
        <v>87</v>
      </c>
      <c r="G71" s="0" t="s">
        <v>13</v>
      </c>
      <c r="H71" s="0" t="str">
        <f aca="false">"138-149"</f>
        <v>138-149</v>
      </c>
      <c r="I71" s="0" t="s">
        <v>13</v>
      </c>
      <c r="J71" s="0" t="str">
        <f aca="false">"175-186"</f>
        <v>175-186</v>
      </c>
      <c r="K71" s="0" t="str">
        <f aca="false">"0.51"</f>
        <v>0.51</v>
      </c>
      <c r="L71" s="0" t="str">
        <f aca="false">"9.19"</f>
        <v>9.19</v>
      </c>
      <c r="M71" s="0" t="str">
        <f aca="false">"-158.2"</f>
        <v>-158.2</v>
      </c>
    </row>
    <row r="72" customFormat="false" ht="12.8" hidden="false" customHeight="false" outlineLevel="0" collapsed="false">
      <c r="A72" s="0" t="s">
        <v>8</v>
      </c>
      <c r="B72" s="0" t="s">
        <v>9</v>
      </c>
      <c r="C72" s="0" t="str">
        <f aca="false">"134-145"</f>
        <v>134-145</v>
      </c>
      <c r="D72" s="0" t="s">
        <v>9</v>
      </c>
      <c r="E72" s="0" t="str">
        <f aca="false">"229-240"</f>
        <v>229-240</v>
      </c>
      <c r="F72" s="0" t="s">
        <v>88</v>
      </c>
      <c r="G72" s="0" t="s">
        <v>9</v>
      </c>
      <c r="H72" s="0" t="str">
        <f aca="false">"120-131"</f>
        <v>120-131</v>
      </c>
      <c r="I72" s="0" t="s">
        <v>9</v>
      </c>
      <c r="J72" s="0" t="str">
        <f aca="false">"82-93"</f>
        <v>82-93</v>
      </c>
      <c r="K72" s="0" t="str">
        <f aca="false">"0.42"</f>
        <v>0.42</v>
      </c>
      <c r="L72" s="0" t="str">
        <f aca="false">"9.73"</f>
        <v>9.73</v>
      </c>
      <c r="M72" s="0" t="str">
        <f aca="false">"-149.9"</f>
        <v>-149.9</v>
      </c>
    </row>
    <row r="73" customFormat="false" ht="12.8" hidden="false" customHeight="false" outlineLevel="0" collapsed="false">
      <c r="A73" s="0" t="s">
        <v>8</v>
      </c>
      <c r="B73" s="0" t="s">
        <v>9</v>
      </c>
      <c r="C73" s="0" t="str">
        <f aca="false">"134-145"</f>
        <v>134-145</v>
      </c>
      <c r="D73" s="0" t="s">
        <v>9</v>
      </c>
      <c r="E73" s="0" t="str">
        <f aca="false">"229-240"</f>
        <v>229-240</v>
      </c>
      <c r="F73" s="0" t="s">
        <v>89</v>
      </c>
      <c r="G73" s="0" t="s">
        <v>9</v>
      </c>
      <c r="H73" s="0" t="str">
        <f aca="false">"96-107"</f>
        <v>96-107</v>
      </c>
      <c r="I73" s="0" t="s">
        <v>9</v>
      </c>
      <c r="J73" s="0" t="str">
        <f aca="false">"151-162"</f>
        <v>151-162</v>
      </c>
      <c r="K73" s="0" t="str">
        <f aca="false">"0.83"</f>
        <v>0.83</v>
      </c>
      <c r="L73" s="0" t="str">
        <f aca="false">"9.94"</f>
        <v>9.94</v>
      </c>
      <c r="M73" s="0" t="str">
        <f aca="false">"-152.9"</f>
        <v>-152.9</v>
      </c>
    </row>
    <row r="74" customFormat="false" ht="12.8" hidden="false" customHeight="false" outlineLevel="0" collapsed="false">
      <c r="A74" s="0" t="s">
        <v>8</v>
      </c>
      <c r="B74" s="0" t="s">
        <v>9</v>
      </c>
      <c r="C74" s="0" t="str">
        <f aca="false">"137-148"</f>
        <v>137-148</v>
      </c>
      <c r="D74" s="0" t="s">
        <v>9</v>
      </c>
      <c r="E74" s="0" t="str">
        <f aca="false">"225-236"</f>
        <v>225-236</v>
      </c>
      <c r="F74" s="0" t="s">
        <v>90</v>
      </c>
      <c r="G74" s="0" t="s">
        <v>13</v>
      </c>
      <c r="H74" s="0" t="str">
        <f aca="false">"93-104"</f>
        <v>93-104</v>
      </c>
      <c r="I74" s="0" t="s">
        <v>13</v>
      </c>
      <c r="J74" s="0" t="str">
        <f aca="false">"40-51"</f>
        <v>40-51</v>
      </c>
      <c r="K74" s="0" t="str">
        <f aca="false">"0.58"</f>
        <v>0.58</v>
      </c>
      <c r="L74" s="0" t="str">
        <f aca="false">"8.87"</f>
        <v>8.87</v>
      </c>
      <c r="M74" s="0" t="str">
        <f aca="false">"-155.0"</f>
        <v>-155.0</v>
      </c>
    </row>
    <row r="75" customFormat="false" ht="12.8" hidden="false" customHeight="false" outlineLevel="0" collapsed="false">
      <c r="A75" s="0" t="s">
        <v>8</v>
      </c>
      <c r="B75" s="0" t="s">
        <v>9</v>
      </c>
      <c r="C75" s="0" t="str">
        <f aca="false">"134-145"</f>
        <v>134-145</v>
      </c>
      <c r="D75" s="0" t="s">
        <v>9</v>
      </c>
      <c r="E75" s="0" t="str">
        <f aca="false">"226-237"</f>
        <v>226-237</v>
      </c>
      <c r="F75" s="0" t="s">
        <v>91</v>
      </c>
      <c r="G75" s="0" t="s">
        <v>9</v>
      </c>
      <c r="H75" s="0" t="str">
        <f aca="false">"126-137"</f>
        <v>126-137</v>
      </c>
      <c r="I75" s="0" t="s">
        <v>9</v>
      </c>
      <c r="J75" s="0" t="str">
        <f aca="false">"152-163"</f>
        <v>152-163</v>
      </c>
      <c r="K75" s="0" t="str">
        <f aca="false">"0.86"</f>
        <v>0.86</v>
      </c>
      <c r="L75" s="0" t="str">
        <f aca="false">"9.93"</f>
        <v>9.93</v>
      </c>
      <c r="M75" s="0" t="str">
        <f aca="false">"-158.0"</f>
        <v>-158.0</v>
      </c>
    </row>
    <row r="76" customFormat="false" ht="12.8" hidden="false" customHeight="false" outlineLevel="0" collapsed="false">
      <c r="A76" s="0" t="s">
        <v>8</v>
      </c>
      <c r="B76" s="0" t="s">
        <v>9</v>
      </c>
      <c r="C76" s="0" t="str">
        <f aca="false">"137-148"</f>
        <v>137-148</v>
      </c>
      <c r="D76" s="0" t="s">
        <v>9</v>
      </c>
      <c r="E76" s="0" t="str">
        <f aca="false">"225-236"</f>
        <v>225-236</v>
      </c>
      <c r="F76" s="0" t="s">
        <v>92</v>
      </c>
      <c r="G76" s="0" t="s">
        <v>9</v>
      </c>
      <c r="H76" s="0" t="str">
        <f aca="false">"54-65"</f>
        <v>54-65</v>
      </c>
      <c r="I76" s="0" t="s">
        <v>9</v>
      </c>
      <c r="J76" s="0" t="str">
        <f aca="false">"5-16"</f>
        <v>5-16</v>
      </c>
      <c r="K76" s="0" t="str">
        <f aca="false">"0.81"</f>
        <v>0.81</v>
      </c>
      <c r="L76" s="0" t="str">
        <f aca="false">"9.92"</f>
        <v>9.92</v>
      </c>
      <c r="M76" s="0" t="str">
        <f aca="false">"-154.2"</f>
        <v>-154.2</v>
      </c>
    </row>
    <row r="77" customFormat="false" ht="12.8" hidden="false" customHeight="false" outlineLevel="0" collapsed="false">
      <c r="A77" s="0" t="s">
        <v>8</v>
      </c>
      <c r="B77" s="0" t="s">
        <v>9</v>
      </c>
      <c r="C77" s="0" t="str">
        <f aca="false">"134-145"</f>
        <v>134-145</v>
      </c>
      <c r="D77" s="0" t="s">
        <v>9</v>
      </c>
      <c r="E77" s="0" t="str">
        <f aca="false">"229-240"</f>
        <v>229-240</v>
      </c>
      <c r="F77" s="0" t="s">
        <v>93</v>
      </c>
      <c r="G77" s="0" t="s">
        <v>9</v>
      </c>
      <c r="H77" s="0" t="str">
        <f aca="false">"375-386"</f>
        <v>375-386</v>
      </c>
      <c r="I77" s="0" t="s">
        <v>9</v>
      </c>
      <c r="J77" s="0" t="str">
        <f aca="false">"287-298"</f>
        <v>287-298</v>
      </c>
      <c r="K77" s="0" t="str">
        <f aca="false">"0.73"</f>
        <v>0.73</v>
      </c>
      <c r="L77" s="0" t="str">
        <f aca="false">"9.92"</f>
        <v>9.92</v>
      </c>
      <c r="M77" s="0" t="str">
        <f aca="false">"-147.7"</f>
        <v>-147.7</v>
      </c>
    </row>
    <row r="78" customFormat="false" ht="12.8" hidden="false" customHeight="false" outlineLevel="0" collapsed="false">
      <c r="A78" s="0" t="s">
        <v>8</v>
      </c>
      <c r="B78" s="0" t="s">
        <v>9</v>
      </c>
      <c r="C78" s="0" t="str">
        <f aca="false">"130-141"</f>
        <v>130-141</v>
      </c>
      <c r="D78" s="0" t="s">
        <v>9</v>
      </c>
      <c r="E78" s="0" t="str">
        <f aca="false">"232-243"</f>
        <v>232-243</v>
      </c>
      <c r="F78" s="0" t="s">
        <v>94</v>
      </c>
      <c r="G78" s="0" t="s">
        <v>9</v>
      </c>
      <c r="H78" s="0" t="str">
        <f aca="false">"1849-1860"</f>
        <v>1849-1860</v>
      </c>
      <c r="I78" s="0" t="s">
        <v>9</v>
      </c>
      <c r="J78" s="0" t="str">
        <f aca="false">"1818-1829"</f>
        <v>1818-1829</v>
      </c>
      <c r="K78" s="0" t="str">
        <f aca="false">"1.00"</f>
        <v>1.00</v>
      </c>
      <c r="L78" s="0" t="str">
        <f aca="false">"10.76"</f>
        <v>10.76</v>
      </c>
      <c r="M78" s="0" t="str">
        <f aca="false">"-154.1"</f>
        <v>-154.1</v>
      </c>
    </row>
    <row r="79" customFormat="false" ht="12.8" hidden="false" customHeight="false" outlineLevel="0" collapsed="false">
      <c r="A79" s="0" t="s">
        <v>8</v>
      </c>
      <c r="B79" s="0" t="s">
        <v>9</v>
      </c>
      <c r="C79" s="0" t="str">
        <f aca="false">"134-145"</f>
        <v>134-145</v>
      </c>
      <c r="D79" s="0" t="s">
        <v>9</v>
      </c>
      <c r="E79" s="0" t="str">
        <f aca="false">"226-237"</f>
        <v>226-237</v>
      </c>
      <c r="F79" s="0" t="s">
        <v>95</v>
      </c>
      <c r="G79" s="0" t="s">
        <v>9</v>
      </c>
      <c r="H79" s="0" t="str">
        <f aca="false">"11-22"</f>
        <v>11-22</v>
      </c>
      <c r="I79" s="0" t="s">
        <v>9</v>
      </c>
      <c r="J79" s="0" t="str">
        <f aca="false">"42-53"</f>
        <v>42-53</v>
      </c>
      <c r="K79" s="0" t="str">
        <f aca="false">"0.73"</f>
        <v>0.73</v>
      </c>
      <c r="L79" s="0" t="str">
        <f aca="false">"10.33"</f>
        <v>10.33</v>
      </c>
      <c r="M79" s="0" t="str">
        <f aca="false">"-145.1"</f>
        <v>-145.1</v>
      </c>
    </row>
    <row r="80" customFormat="false" ht="12.8" hidden="false" customHeight="false" outlineLevel="0" collapsed="false">
      <c r="A80" s="0" t="s">
        <v>8</v>
      </c>
      <c r="B80" s="0" t="s">
        <v>9</v>
      </c>
      <c r="C80" s="0" t="str">
        <f aca="false">"137-148"</f>
        <v>137-148</v>
      </c>
      <c r="D80" s="0" t="s">
        <v>9</v>
      </c>
      <c r="E80" s="0" t="str">
        <f aca="false">"225-236"</f>
        <v>225-236</v>
      </c>
      <c r="F80" s="0" t="s">
        <v>96</v>
      </c>
      <c r="G80" s="0" t="s">
        <v>9</v>
      </c>
      <c r="H80" s="0" t="str">
        <f aca="false">"191-202"</f>
        <v>191-202</v>
      </c>
      <c r="I80" s="0" t="s">
        <v>9</v>
      </c>
      <c r="J80" s="0" t="str">
        <f aca="false">"88-99"</f>
        <v>88-99</v>
      </c>
      <c r="K80" s="0" t="str">
        <f aca="false">"1.21"</f>
        <v>1.21</v>
      </c>
      <c r="L80" s="0" t="str">
        <f aca="false">"9.88"</f>
        <v>9.88</v>
      </c>
      <c r="M80" s="0" t="str">
        <f aca="false">"-150.2"</f>
        <v>-150.2</v>
      </c>
    </row>
    <row r="81" customFormat="false" ht="12.8" hidden="false" customHeight="false" outlineLevel="0" collapsed="false">
      <c r="A81" s="0" t="s">
        <v>8</v>
      </c>
      <c r="B81" s="0" t="s">
        <v>9</v>
      </c>
      <c r="C81" s="0" t="str">
        <f aca="false">"137-148"</f>
        <v>137-148</v>
      </c>
      <c r="D81" s="0" t="s">
        <v>9</v>
      </c>
      <c r="E81" s="0" t="str">
        <f aca="false">"225-236"</f>
        <v>225-236</v>
      </c>
      <c r="F81" s="0" t="s">
        <v>97</v>
      </c>
      <c r="G81" s="0" t="s">
        <v>9</v>
      </c>
      <c r="H81" s="0" t="str">
        <f aca="false">"32-43"</f>
        <v>32-43</v>
      </c>
      <c r="I81" s="0" t="s">
        <v>9</v>
      </c>
      <c r="J81" s="0" t="str">
        <f aca="false">"6-17"</f>
        <v>6-17</v>
      </c>
      <c r="K81" s="0" t="str">
        <f aca="false">"0.74"</f>
        <v>0.74</v>
      </c>
      <c r="L81" s="0" t="str">
        <f aca="false">"9.43"</f>
        <v>9.43</v>
      </c>
      <c r="M81" s="0" t="str">
        <f aca="false">"-149.9"</f>
        <v>-149.9</v>
      </c>
    </row>
    <row r="82" customFormat="false" ht="12.8" hidden="false" customHeight="false" outlineLevel="0" collapsed="false">
      <c r="A82" s="0" t="s">
        <v>8</v>
      </c>
      <c r="B82" s="0" t="s">
        <v>9</v>
      </c>
      <c r="C82" s="0" t="str">
        <f aca="false">"134-145"</f>
        <v>134-145</v>
      </c>
      <c r="D82" s="0" t="s">
        <v>9</v>
      </c>
      <c r="E82" s="0" t="str">
        <f aca="false">"229-240"</f>
        <v>229-240</v>
      </c>
      <c r="F82" s="0" t="s">
        <v>98</v>
      </c>
      <c r="G82" s="0" t="s">
        <v>13</v>
      </c>
      <c r="H82" s="0" t="str">
        <f aca="false">"117-128"</f>
        <v>117-128</v>
      </c>
      <c r="I82" s="0" t="s">
        <v>13</v>
      </c>
      <c r="J82" s="0" t="str">
        <f aca="false">"154-165"</f>
        <v>154-165</v>
      </c>
      <c r="K82" s="0" t="str">
        <f aca="false">"0.48"</f>
        <v>0.48</v>
      </c>
      <c r="L82" s="0" t="str">
        <f aca="false">"9.01"</f>
        <v>9.01</v>
      </c>
      <c r="M82" s="0" t="str">
        <f aca="false">"-157.1"</f>
        <v>-157.1</v>
      </c>
    </row>
    <row r="83" customFormat="false" ht="12.8" hidden="false" customHeight="false" outlineLevel="0" collapsed="false">
      <c r="A83" s="0" t="s">
        <v>8</v>
      </c>
      <c r="B83" s="0" t="s">
        <v>9</v>
      </c>
      <c r="C83" s="0" t="str">
        <f aca="false">"134-145"</f>
        <v>134-145</v>
      </c>
      <c r="D83" s="0" t="s">
        <v>9</v>
      </c>
      <c r="E83" s="0" t="str">
        <f aca="false">"229-240"</f>
        <v>229-240</v>
      </c>
      <c r="F83" s="0" t="s">
        <v>99</v>
      </c>
      <c r="G83" s="0" t="s">
        <v>9</v>
      </c>
      <c r="H83" s="0" t="str">
        <f aca="false">"35-46"</f>
        <v>35-46</v>
      </c>
      <c r="I83" s="0" t="s">
        <v>9</v>
      </c>
      <c r="J83" s="0" t="str">
        <f aca="false">"4-15"</f>
        <v>4-15</v>
      </c>
      <c r="K83" s="0" t="str">
        <f aca="false">"0.55"</f>
        <v>0.55</v>
      </c>
      <c r="L83" s="0" t="str">
        <f aca="false">"9.43"</f>
        <v>9.43</v>
      </c>
      <c r="M83" s="0" t="str">
        <f aca="false">"-153.9"</f>
        <v>-153.9</v>
      </c>
    </row>
    <row r="84" customFormat="false" ht="12.8" hidden="false" customHeight="false" outlineLevel="0" collapsed="false">
      <c r="A84" s="0" t="s">
        <v>8</v>
      </c>
      <c r="B84" s="0" t="s">
        <v>9</v>
      </c>
      <c r="C84" s="0" t="str">
        <f aca="false">"137-148"</f>
        <v>137-148</v>
      </c>
      <c r="D84" s="0" t="s">
        <v>9</v>
      </c>
      <c r="E84" s="0" t="str">
        <f aca="false">"225-236"</f>
        <v>225-236</v>
      </c>
      <c r="F84" s="0" t="s">
        <v>100</v>
      </c>
      <c r="G84" s="0" t="s">
        <v>13</v>
      </c>
      <c r="H84" s="0" t="str">
        <f aca="false">"868-879"</f>
        <v>868-879</v>
      </c>
      <c r="I84" s="0" t="s">
        <v>13</v>
      </c>
      <c r="J84" s="0" t="str">
        <f aca="false">"844-855"</f>
        <v>844-855</v>
      </c>
      <c r="K84" s="0" t="str">
        <f aca="false">"0.81"</f>
        <v>0.81</v>
      </c>
      <c r="L84" s="0" t="str">
        <f aca="false">"9.97"</f>
        <v>9.97</v>
      </c>
      <c r="M84" s="0" t="str">
        <f aca="false">"-142.6"</f>
        <v>-142.6</v>
      </c>
    </row>
    <row r="85" customFormat="false" ht="12.8" hidden="false" customHeight="false" outlineLevel="0" collapsed="false">
      <c r="A85" s="0" t="s">
        <v>8</v>
      </c>
      <c r="B85" s="0" t="s">
        <v>9</v>
      </c>
      <c r="C85" s="0" t="str">
        <f aca="false">"127-138"</f>
        <v>127-138</v>
      </c>
      <c r="D85" s="0" t="s">
        <v>9</v>
      </c>
      <c r="E85" s="0" t="str">
        <f aca="false">"233-244"</f>
        <v>233-244</v>
      </c>
      <c r="F85" s="0" t="s">
        <v>101</v>
      </c>
      <c r="G85" s="0" t="s">
        <v>9</v>
      </c>
      <c r="H85" s="0" t="str">
        <f aca="false">"82-93"</f>
        <v>82-93</v>
      </c>
      <c r="I85" s="0" t="s">
        <v>9</v>
      </c>
      <c r="J85" s="0" t="str">
        <f aca="false">"147-158"</f>
        <v>147-158</v>
      </c>
      <c r="K85" s="0" t="str">
        <f aca="false">"1.03"</f>
        <v>1.03</v>
      </c>
      <c r="L85" s="0" t="str">
        <f aca="false">"11.75"</f>
        <v>11.75</v>
      </c>
      <c r="M85" s="0" t="str">
        <f aca="false">"-159.9"</f>
        <v>-159.9</v>
      </c>
    </row>
    <row r="86" customFormat="false" ht="12.8" hidden="false" customHeight="false" outlineLevel="0" collapsed="false">
      <c r="A86" s="0" t="s">
        <v>8</v>
      </c>
      <c r="B86" s="0" t="s">
        <v>9</v>
      </c>
      <c r="C86" s="0" t="str">
        <f aca="false">"134-145"</f>
        <v>134-145</v>
      </c>
      <c r="D86" s="0" t="s">
        <v>9</v>
      </c>
      <c r="E86" s="0" t="str">
        <f aca="false">"229-240"</f>
        <v>229-240</v>
      </c>
      <c r="F86" s="0" t="s">
        <v>102</v>
      </c>
      <c r="G86" s="0" t="s">
        <v>9</v>
      </c>
      <c r="H86" s="0" t="str">
        <f aca="false">"2-13"</f>
        <v>2-13</v>
      </c>
      <c r="I86" s="0" t="s">
        <v>13</v>
      </c>
      <c r="J86" s="0" t="str">
        <f aca="false">"9-20"</f>
        <v>9-20</v>
      </c>
      <c r="K86" s="0" t="str">
        <f aca="false">"0.93"</f>
        <v>0.93</v>
      </c>
      <c r="L86" s="0" t="str">
        <f aca="false">"10.82"</f>
        <v>10.82</v>
      </c>
      <c r="M86" s="0" t="str">
        <f aca="false">"-163.1"</f>
        <v>-163.1</v>
      </c>
    </row>
    <row r="87" customFormat="false" ht="12.8" hidden="false" customHeight="false" outlineLevel="0" collapsed="false">
      <c r="A87" s="0" t="s">
        <v>8</v>
      </c>
      <c r="B87" s="0" t="s">
        <v>9</v>
      </c>
      <c r="C87" s="0" t="str">
        <f aca="false">"134-145"</f>
        <v>134-145</v>
      </c>
      <c r="D87" s="0" t="s">
        <v>9</v>
      </c>
      <c r="E87" s="0" t="str">
        <f aca="false">"226-237"</f>
        <v>226-237</v>
      </c>
      <c r="F87" s="0" t="s">
        <v>103</v>
      </c>
      <c r="G87" s="0" t="s">
        <v>71</v>
      </c>
      <c r="H87" s="0" t="str">
        <f aca="false">"68-79"</f>
        <v>68-79</v>
      </c>
      <c r="I87" s="0" t="s">
        <v>71</v>
      </c>
      <c r="J87" s="0" t="str">
        <f aca="false">"100-111"</f>
        <v>100-111</v>
      </c>
      <c r="K87" s="0" t="str">
        <f aca="false">"0.66"</f>
        <v>0.66</v>
      </c>
      <c r="L87" s="0" t="str">
        <f aca="false">"9.96"</f>
        <v>9.96</v>
      </c>
      <c r="M87" s="0" t="str">
        <f aca="false">"-158.3"</f>
        <v>-158.3</v>
      </c>
    </row>
    <row r="88" customFormat="false" ht="12.8" hidden="false" customHeight="false" outlineLevel="0" collapsed="false">
      <c r="A88" s="0" t="s">
        <v>8</v>
      </c>
      <c r="B88" s="0" t="s">
        <v>9</v>
      </c>
      <c r="C88" s="0" t="str">
        <f aca="false">"134-145"</f>
        <v>134-145</v>
      </c>
      <c r="D88" s="0" t="s">
        <v>9</v>
      </c>
      <c r="E88" s="0" t="str">
        <f aca="false">"229-240"</f>
        <v>229-240</v>
      </c>
      <c r="F88" s="0" t="s">
        <v>104</v>
      </c>
      <c r="G88" s="0" t="s">
        <v>9</v>
      </c>
      <c r="H88" s="0" t="str">
        <f aca="false">"528-539"</f>
        <v>528-539</v>
      </c>
      <c r="I88" s="0" t="s">
        <v>9</v>
      </c>
      <c r="J88" s="0" t="str">
        <f aca="false">"552-563"</f>
        <v>552-563</v>
      </c>
      <c r="K88" s="0" t="str">
        <f aca="false">"1.08"</f>
        <v>1.08</v>
      </c>
      <c r="L88" s="0" t="str">
        <f aca="false">"10.19"</f>
        <v>10.19</v>
      </c>
      <c r="M88" s="0" t="str">
        <f aca="false">"-166.5"</f>
        <v>-166.5</v>
      </c>
    </row>
    <row r="89" customFormat="false" ht="12.8" hidden="false" customHeight="false" outlineLevel="0" collapsed="false">
      <c r="A89" s="0" t="s">
        <v>8</v>
      </c>
      <c r="B89" s="0" t="s">
        <v>9</v>
      </c>
      <c r="C89" s="0" t="str">
        <f aca="false">"137-148"</f>
        <v>137-148</v>
      </c>
      <c r="D89" s="0" t="s">
        <v>9</v>
      </c>
      <c r="E89" s="0" t="str">
        <f aca="false">"225-236"</f>
        <v>225-236</v>
      </c>
      <c r="F89" s="0" t="s">
        <v>105</v>
      </c>
      <c r="G89" s="0" t="s">
        <v>9</v>
      </c>
      <c r="H89" s="0" t="str">
        <f aca="false">"29-40"</f>
        <v>29-40</v>
      </c>
      <c r="I89" s="0" t="s">
        <v>9</v>
      </c>
      <c r="J89" s="0" t="str">
        <f aca="false">"58-69"</f>
        <v>58-69</v>
      </c>
      <c r="K89" s="0" t="str">
        <f aca="false">"0.39"</f>
        <v>0.39</v>
      </c>
      <c r="L89" s="0" t="str">
        <f aca="false">"9.58"</f>
        <v>9.58</v>
      </c>
      <c r="M89" s="0" t="str">
        <f aca="false">"-152.2"</f>
        <v>-152.2</v>
      </c>
    </row>
    <row r="90" customFormat="false" ht="12.8" hidden="false" customHeight="false" outlineLevel="0" collapsed="false">
      <c r="A90" s="0" t="s">
        <v>8</v>
      </c>
      <c r="B90" s="0" t="s">
        <v>9</v>
      </c>
      <c r="C90" s="0" t="str">
        <f aca="false">"130-141"</f>
        <v>130-141</v>
      </c>
      <c r="D90" s="0" t="s">
        <v>9</v>
      </c>
      <c r="E90" s="0" t="str">
        <f aca="false">"232-243"</f>
        <v>232-243</v>
      </c>
      <c r="F90" s="0" t="s">
        <v>106</v>
      </c>
      <c r="G90" s="0" t="s">
        <v>9</v>
      </c>
      <c r="H90" s="0" t="str">
        <f aca="false">"135-146"</f>
        <v>135-146</v>
      </c>
      <c r="I90" s="0" t="s">
        <v>9</v>
      </c>
      <c r="J90" s="0" t="str">
        <f aca="false">"82-93"</f>
        <v>82-93</v>
      </c>
      <c r="K90" s="0" t="str">
        <f aca="false">"0.88"</f>
        <v>0.88</v>
      </c>
      <c r="L90" s="0" t="str">
        <f aca="false">"9.53"</f>
        <v>9.53</v>
      </c>
      <c r="M90" s="0" t="str">
        <f aca="false">"-167.9"</f>
        <v>-167.9</v>
      </c>
    </row>
    <row r="91" customFormat="false" ht="12.8" hidden="false" customHeight="false" outlineLevel="0" collapsed="false">
      <c r="A91" s="0" t="s">
        <v>8</v>
      </c>
      <c r="B91" s="0" t="s">
        <v>9</v>
      </c>
      <c r="C91" s="0" t="str">
        <f aca="false">"134-145"</f>
        <v>134-145</v>
      </c>
      <c r="D91" s="0" t="s">
        <v>9</v>
      </c>
      <c r="E91" s="0" t="str">
        <f aca="false">"226-237"</f>
        <v>226-237</v>
      </c>
      <c r="F91" s="0" t="s">
        <v>107</v>
      </c>
      <c r="G91" s="0" t="s">
        <v>13</v>
      </c>
      <c r="H91" s="0" t="str">
        <f aca="false">"8-19"</f>
        <v>8-19</v>
      </c>
      <c r="I91" s="0" t="s">
        <v>13</v>
      </c>
      <c r="J91" s="0" t="str">
        <f aca="false">"70-81"</f>
        <v>70-81</v>
      </c>
      <c r="K91" s="0" t="str">
        <f aca="false">"0.77"</f>
        <v>0.77</v>
      </c>
      <c r="L91" s="0" t="str">
        <f aca="false">"10.48"</f>
        <v>10.48</v>
      </c>
      <c r="M91" s="0" t="str">
        <f aca="false">"-162.5"</f>
        <v>-162.5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tr">
        <f aca="false">"134-145"</f>
        <v>134-145</v>
      </c>
      <c r="D92" s="0" t="s">
        <v>9</v>
      </c>
      <c r="E92" s="0" t="str">
        <f aca="false">"226-237"</f>
        <v>226-237</v>
      </c>
      <c r="F92" s="0" t="s">
        <v>108</v>
      </c>
      <c r="G92" s="0" t="s">
        <v>9</v>
      </c>
      <c r="H92" s="0" t="str">
        <f aca="false">"81-92"</f>
        <v>81-92</v>
      </c>
      <c r="I92" s="0" t="s">
        <v>9</v>
      </c>
      <c r="J92" s="0" t="str">
        <f aca="false">"37-48"</f>
        <v>37-48</v>
      </c>
      <c r="K92" s="0" t="str">
        <f aca="false">"0.56"</f>
        <v>0.56</v>
      </c>
      <c r="L92" s="0" t="str">
        <f aca="false">"10.02"</f>
        <v>10.02</v>
      </c>
      <c r="M92" s="0" t="str">
        <f aca="false">"-156.1"</f>
        <v>-156.1</v>
      </c>
    </row>
    <row r="93" customFormat="false" ht="12.8" hidden="false" customHeight="false" outlineLevel="0" collapsed="false">
      <c r="A93" s="0" t="s">
        <v>8</v>
      </c>
      <c r="B93" s="0" t="s">
        <v>9</v>
      </c>
      <c r="C93" s="0" t="str">
        <f aca="false">"134-145"</f>
        <v>134-145</v>
      </c>
      <c r="D93" s="0" t="s">
        <v>9</v>
      </c>
      <c r="E93" s="0" t="str">
        <f aca="false">"229-240"</f>
        <v>229-240</v>
      </c>
      <c r="F93" s="0" t="s">
        <v>109</v>
      </c>
      <c r="G93" s="0" t="s">
        <v>9</v>
      </c>
      <c r="H93" s="0" t="str">
        <f aca="false">"417-428"</f>
        <v>417-428</v>
      </c>
      <c r="I93" s="0" t="s">
        <v>9</v>
      </c>
      <c r="J93" s="0" t="str">
        <f aca="false">"353-364"</f>
        <v>353-364</v>
      </c>
      <c r="K93" s="0" t="str">
        <f aca="false">"0.83"</f>
        <v>0.83</v>
      </c>
      <c r="L93" s="0" t="str">
        <f aca="false">"10.48"</f>
        <v>10.48</v>
      </c>
      <c r="M93" s="0" t="str">
        <f aca="false">"-164.2"</f>
        <v>-164.2</v>
      </c>
    </row>
    <row r="94" customFormat="false" ht="12.8" hidden="false" customHeight="false" outlineLevel="0" collapsed="false">
      <c r="A94" s="0" t="s">
        <v>8</v>
      </c>
      <c r="B94" s="0" t="s">
        <v>9</v>
      </c>
      <c r="C94" s="0" t="str">
        <f aca="false">"134-145"</f>
        <v>134-145</v>
      </c>
      <c r="D94" s="0" t="s">
        <v>9</v>
      </c>
      <c r="E94" s="0" t="str">
        <f aca="false">"229-240"</f>
        <v>229-240</v>
      </c>
      <c r="F94" s="0" t="s">
        <v>110</v>
      </c>
      <c r="G94" s="0" t="s">
        <v>9</v>
      </c>
      <c r="H94" s="0" t="str">
        <f aca="false">"38-49"</f>
        <v>38-49</v>
      </c>
      <c r="I94" s="0" t="s">
        <v>9</v>
      </c>
      <c r="J94" s="0" t="str">
        <f aca="false">"22-33"</f>
        <v>22-33</v>
      </c>
      <c r="K94" s="0" t="str">
        <f aca="false">"1.06"</f>
        <v>1.06</v>
      </c>
      <c r="L94" s="0" t="str">
        <f aca="false">"10.75"</f>
        <v>10.75</v>
      </c>
      <c r="M94" s="0" t="str">
        <f aca="false">"-158.8"</f>
        <v>-158.8</v>
      </c>
    </row>
    <row r="95" customFormat="false" ht="12.8" hidden="false" customHeight="false" outlineLevel="0" collapsed="false">
      <c r="A95" s="0" t="s">
        <v>8</v>
      </c>
      <c r="B95" s="0" t="s">
        <v>9</v>
      </c>
      <c r="C95" s="0" t="str">
        <f aca="false">"134-145"</f>
        <v>134-145</v>
      </c>
      <c r="D95" s="0" t="s">
        <v>9</v>
      </c>
      <c r="E95" s="0" t="str">
        <f aca="false">"229-240"</f>
        <v>229-240</v>
      </c>
      <c r="F95" s="0" t="s">
        <v>111</v>
      </c>
      <c r="G95" s="0" t="s">
        <v>9</v>
      </c>
      <c r="H95" s="0" t="str">
        <f aca="false">"143-154"</f>
        <v>143-154</v>
      </c>
      <c r="I95" s="0" t="s">
        <v>9</v>
      </c>
      <c r="J95" s="0" t="str">
        <f aca="false">"126-137"</f>
        <v>126-137</v>
      </c>
      <c r="K95" s="0" t="str">
        <f aca="false">"0.57"</f>
        <v>0.57</v>
      </c>
      <c r="L95" s="0" t="str">
        <f aca="false">"9.62"</f>
        <v>9.62</v>
      </c>
      <c r="M95" s="0" t="str">
        <f aca="false">"-161.0"</f>
        <v>-161.0</v>
      </c>
    </row>
    <row r="96" customFormat="false" ht="12.8" hidden="false" customHeight="false" outlineLevel="0" collapsed="false">
      <c r="A96" s="0" t="s">
        <v>8</v>
      </c>
      <c r="B96" s="0" t="s">
        <v>9</v>
      </c>
      <c r="C96" s="0" t="str">
        <f aca="false">"128-139"</f>
        <v>128-139</v>
      </c>
      <c r="D96" s="0" t="s">
        <v>9</v>
      </c>
      <c r="E96" s="0" t="str">
        <f aca="false">"233-244"</f>
        <v>233-244</v>
      </c>
      <c r="F96" s="0" t="s">
        <v>112</v>
      </c>
      <c r="G96" s="0" t="s">
        <v>13</v>
      </c>
      <c r="H96" s="0" t="str">
        <f aca="false">"130-141"</f>
        <v>130-141</v>
      </c>
      <c r="I96" s="0" t="s">
        <v>13</v>
      </c>
      <c r="J96" s="0" t="str">
        <f aca="false">"109-120"</f>
        <v>109-120</v>
      </c>
      <c r="K96" s="0" t="str">
        <f aca="false">"1.07"</f>
        <v>1.07</v>
      </c>
      <c r="L96" s="0" t="str">
        <f aca="false">"10.97"</f>
        <v>10.97</v>
      </c>
      <c r="M96" s="0" t="str">
        <f aca="false">"-152.8"</f>
        <v>-152.8</v>
      </c>
    </row>
    <row r="97" customFormat="false" ht="12.8" hidden="false" customHeight="false" outlineLevel="0" collapsed="false">
      <c r="A97" s="0" t="s">
        <v>8</v>
      </c>
      <c r="B97" s="0" t="s">
        <v>9</v>
      </c>
      <c r="C97" s="0" t="str">
        <f aca="false">"134-145"</f>
        <v>134-145</v>
      </c>
      <c r="D97" s="0" t="s">
        <v>9</v>
      </c>
      <c r="E97" s="0" t="str">
        <f aca="false">"226-237"</f>
        <v>226-237</v>
      </c>
      <c r="F97" s="0" t="s">
        <v>113</v>
      </c>
      <c r="G97" s="0" t="s">
        <v>9</v>
      </c>
      <c r="H97" s="0" t="str">
        <f aca="false">"160-171"</f>
        <v>160-171</v>
      </c>
      <c r="I97" s="0" t="s">
        <v>9</v>
      </c>
      <c r="J97" s="0" t="str">
        <f aca="false">"259-270"</f>
        <v>259-270</v>
      </c>
      <c r="K97" s="0" t="str">
        <f aca="false">"0.71"</f>
        <v>0.71</v>
      </c>
      <c r="L97" s="0" t="str">
        <f aca="false">"10.23"</f>
        <v>10.23</v>
      </c>
      <c r="M97" s="0" t="str">
        <f aca="false">"-152.6"</f>
        <v>-152.6</v>
      </c>
    </row>
    <row r="98" customFormat="false" ht="12.8" hidden="false" customHeight="false" outlineLevel="0" collapsed="false">
      <c r="A98" s="0" t="s">
        <v>8</v>
      </c>
      <c r="B98" s="0" t="s">
        <v>9</v>
      </c>
      <c r="C98" s="0" t="str">
        <f aca="false">"134-145"</f>
        <v>134-145</v>
      </c>
      <c r="D98" s="0" t="s">
        <v>9</v>
      </c>
      <c r="E98" s="0" t="str">
        <f aca="false">"229-240"</f>
        <v>229-240</v>
      </c>
      <c r="F98" s="0" t="s">
        <v>114</v>
      </c>
      <c r="G98" s="0" t="s">
        <v>13</v>
      </c>
      <c r="H98" s="0" t="str">
        <f aca="false">"99-110"</f>
        <v>99-110</v>
      </c>
      <c r="I98" s="0" t="s">
        <v>13</v>
      </c>
      <c r="J98" s="0" t="str">
        <f aca="false">"32-43"</f>
        <v>32-43</v>
      </c>
      <c r="K98" s="0" t="str">
        <f aca="false">"0.52"</f>
        <v>0.52</v>
      </c>
      <c r="L98" s="0" t="str">
        <f aca="false">"10.04"</f>
        <v>10.04</v>
      </c>
      <c r="M98" s="0" t="str">
        <f aca="false">"-150.2"</f>
        <v>-150.2</v>
      </c>
    </row>
    <row r="99" customFormat="false" ht="12.8" hidden="false" customHeight="false" outlineLevel="0" collapsed="false">
      <c r="A99" s="0" t="s">
        <v>8</v>
      </c>
      <c r="B99" s="0" t="s">
        <v>9</v>
      </c>
      <c r="C99" s="0" t="str">
        <f aca="false">"131-142"</f>
        <v>131-142</v>
      </c>
      <c r="D99" s="0" t="s">
        <v>9</v>
      </c>
      <c r="E99" s="0" t="str">
        <f aca="false">"233-244"</f>
        <v>233-244</v>
      </c>
      <c r="F99" s="0" t="s">
        <v>115</v>
      </c>
      <c r="G99" s="0" t="s">
        <v>24</v>
      </c>
      <c r="H99" s="0" t="str">
        <f aca="false">"182-193"</f>
        <v>182-193</v>
      </c>
      <c r="I99" s="0" t="s">
        <v>24</v>
      </c>
      <c r="J99" s="0" t="str">
        <f aca="false">"280-291"</f>
        <v>280-291</v>
      </c>
      <c r="K99" s="0" t="str">
        <f aca="false">"1.19"</f>
        <v>1.19</v>
      </c>
      <c r="L99" s="0" t="str">
        <f aca="false">"10.28"</f>
        <v>10.28</v>
      </c>
      <c r="M99" s="0" t="str">
        <f aca="false">"-171.1"</f>
        <v>-171.1</v>
      </c>
    </row>
    <row r="100" customFormat="false" ht="12.8" hidden="false" customHeight="false" outlineLevel="0" collapsed="false">
      <c r="A100" s="0" t="s">
        <v>8</v>
      </c>
      <c r="B100" s="0" t="s">
        <v>9</v>
      </c>
      <c r="C100" s="0" t="str">
        <f aca="false">"134-145"</f>
        <v>134-145</v>
      </c>
      <c r="D100" s="0" t="s">
        <v>9</v>
      </c>
      <c r="E100" s="0" t="str">
        <f aca="false">"229-240"</f>
        <v>229-240</v>
      </c>
      <c r="F100" s="0" t="s">
        <v>116</v>
      </c>
      <c r="G100" s="0" t="s">
        <v>9</v>
      </c>
      <c r="H100" s="0" t="str">
        <f aca="false">"12-23"</f>
        <v>12-23</v>
      </c>
      <c r="I100" s="0" t="s">
        <v>9</v>
      </c>
      <c r="J100" s="0" t="str">
        <f aca="false">"32-43"</f>
        <v>32-43</v>
      </c>
      <c r="K100" s="0" t="str">
        <f aca="false">"0.97"</f>
        <v>0.97</v>
      </c>
      <c r="L100" s="0" t="str">
        <f aca="false">"10.50"</f>
        <v>10.50</v>
      </c>
      <c r="M100" s="0" t="str">
        <f aca="false">"-144.1"</f>
        <v>-144.1</v>
      </c>
    </row>
    <row r="101" customFormat="false" ht="12.8" hidden="false" customHeight="false" outlineLevel="0" collapsed="false">
      <c r="A101" s="0" t="s">
        <v>8</v>
      </c>
      <c r="B101" s="0" t="s">
        <v>9</v>
      </c>
      <c r="C101" s="0" t="str">
        <f aca="false">"131-142"</f>
        <v>131-142</v>
      </c>
      <c r="D101" s="0" t="s">
        <v>9</v>
      </c>
      <c r="E101" s="0" t="str">
        <f aca="false">"230-241"</f>
        <v>230-241</v>
      </c>
      <c r="F101" s="0" t="s">
        <v>117</v>
      </c>
      <c r="G101" s="0" t="s">
        <v>9</v>
      </c>
      <c r="H101" s="0" t="str">
        <f aca="false">"39-50"</f>
        <v>39-50</v>
      </c>
      <c r="I101" s="0" t="s">
        <v>9</v>
      </c>
      <c r="J101" s="0" t="str">
        <f aca="false">"56-67"</f>
        <v>56-67</v>
      </c>
      <c r="K101" s="0" t="str">
        <f aca="false">"1.00"</f>
        <v>1.00</v>
      </c>
      <c r="L101" s="0" t="str">
        <f aca="false">"10.26"</f>
        <v>10.26</v>
      </c>
      <c r="M101" s="0" t="str">
        <f aca="false">"-165.4"</f>
        <v>-165.4</v>
      </c>
    </row>
    <row r="102" customFormat="false" ht="12.8" hidden="false" customHeight="false" outlineLevel="0" collapsed="false">
      <c r="A102" s="0" t="s">
        <v>8</v>
      </c>
      <c r="B102" s="0" t="s">
        <v>9</v>
      </c>
      <c r="C102" s="0" t="str">
        <f aca="false">"134-145"</f>
        <v>134-145</v>
      </c>
      <c r="D102" s="0" t="s">
        <v>9</v>
      </c>
      <c r="E102" s="0" t="str">
        <f aca="false">"229-240"</f>
        <v>229-240</v>
      </c>
      <c r="F102" s="0" t="s">
        <v>118</v>
      </c>
      <c r="G102" s="0" t="s">
        <v>13</v>
      </c>
      <c r="H102" s="0" t="str">
        <f aca="false">"22-33"</f>
        <v>22-33</v>
      </c>
      <c r="I102" s="0" t="s">
        <v>13</v>
      </c>
      <c r="J102" s="0" t="str">
        <f aca="false">"146-157"</f>
        <v>146-157</v>
      </c>
      <c r="K102" s="0" t="str">
        <f aca="false">"0.80"</f>
        <v>0.80</v>
      </c>
      <c r="L102" s="0" t="str">
        <f aca="false">"9.43"</f>
        <v>9.43</v>
      </c>
      <c r="M102" s="0" t="str">
        <f aca="false">"-159.0"</f>
        <v>-159.0</v>
      </c>
    </row>
    <row r="103" customFormat="false" ht="12.8" hidden="false" customHeight="false" outlineLevel="0" collapsed="false">
      <c r="A103" s="0" t="s">
        <v>8</v>
      </c>
      <c r="B103" s="0" t="s">
        <v>9</v>
      </c>
      <c r="C103" s="0" t="str">
        <f aca="false">"134-145"</f>
        <v>134-145</v>
      </c>
      <c r="D103" s="0" t="s">
        <v>9</v>
      </c>
      <c r="E103" s="0" t="str">
        <f aca="false">"229-240"</f>
        <v>229-240</v>
      </c>
      <c r="F103" s="0" t="s">
        <v>119</v>
      </c>
      <c r="G103" s="0" t="s">
        <v>120</v>
      </c>
      <c r="H103" s="0" t="str">
        <f aca="false">"118-129"</f>
        <v>118-129</v>
      </c>
      <c r="I103" s="0" t="s">
        <v>120</v>
      </c>
      <c r="J103" s="0" t="str">
        <f aca="false">"96-107"</f>
        <v>96-107</v>
      </c>
      <c r="K103" s="0" t="str">
        <f aca="false">"0.86"</f>
        <v>0.86</v>
      </c>
      <c r="L103" s="0" t="str">
        <f aca="false">"9.38"</f>
        <v>9.38</v>
      </c>
      <c r="M103" s="0" t="str">
        <f aca="false">"-156.2"</f>
        <v>-156.2</v>
      </c>
    </row>
    <row r="104" customFormat="false" ht="12.8" hidden="false" customHeight="false" outlineLevel="0" collapsed="false">
      <c r="A104" s="0" t="s">
        <v>8</v>
      </c>
      <c r="B104" s="0" t="s">
        <v>9</v>
      </c>
      <c r="C104" s="0" t="str">
        <f aca="false">"130-141"</f>
        <v>130-141</v>
      </c>
      <c r="D104" s="0" t="s">
        <v>9</v>
      </c>
      <c r="E104" s="0" t="str">
        <f aca="false">"233-244"</f>
        <v>233-244</v>
      </c>
      <c r="F104" s="0" t="s">
        <v>121</v>
      </c>
      <c r="G104" s="0" t="s">
        <v>13</v>
      </c>
      <c r="H104" s="0" t="str">
        <f aca="false">"41-52"</f>
        <v>41-52</v>
      </c>
      <c r="I104" s="0" t="s">
        <v>13</v>
      </c>
      <c r="J104" s="0" t="str">
        <f aca="false">"123-134"</f>
        <v>123-134</v>
      </c>
      <c r="K104" s="0" t="str">
        <f aca="false">"1.13"</f>
        <v>1.13</v>
      </c>
      <c r="L104" s="0" t="str">
        <f aca="false">"10.76"</f>
        <v>10.76</v>
      </c>
      <c r="M104" s="0" t="str">
        <f aca="false">"-167.0"</f>
        <v>-167.0</v>
      </c>
    </row>
    <row r="105" customFormat="false" ht="12.8" hidden="false" customHeight="false" outlineLevel="0" collapsed="false">
      <c r="A105" s="0" t="s">
        <v>8</v>
      </c>
      <c r="B105" s="0" t="s">
        <v>9</v>
      </c>
      <c r="C105" s="0" t="str">
        <f aca="false">"134-145"</f>
        <v>134-145</v>
      </c>
      <c r="D105" s="0" t="s">
        <v>9</v>
      </c>
      <c r="E105" s="0" t="str">
        <f aca="false">"226-237"</f>
        <v>226-237</v>
      </c>
      <c r="F105" s="0" t="s">
        <v>122</v>
      </c>
      <c r="G105" s="0" t="s">
        <v>13</v>
      </c>
      <c r="H105" s="0" t="str">
        <f aca="false">"501-512"</f>
        <v>501-512</v>
      </c>
      <c r="I105" s="0" t="s">
        <v>13</v>
      </c>
      <c r="J105" s="0" t="str">
        <f aca="false">"461-472"</f>
        <v>461-472</v>
      </c>
      <c r="K105" s="0" t="str">
        <f aca="false">"0.73"</f>
        <v>0.73</v>
      </c>
      <c r="L105" s="0" t="str">
        <f aca="false">"10.15"</f>
        <v>10.15</v>
      </c>
      <c r="M105" s="0" t="str">
        <f aca="false">"-160.2"</f>
        <v>-160.2</v>
      </c>
    </row>
    <row r="106" customFormat="false" ht="12.8" hidden="false" customHeight="false" outlineLevel="0" collapsed="false">
      <c r="A106" s="0" t="s">
        <v>8</v>
      </c>
      <c r="B106" s="0" t="s">
        <v>9</v>
      </c>
      <c r="C106" s="0" t="str">
        <f aca="false">"134-145"</f>
        <v>134-145</v>
      </c>
      <c r="D106" s="0" t="s">
        <v>9</v>
      </c>
      <c r="E106" s="0" t="str">
        <f aca="false">"229-240"</f>
        <v>229-240</v>
      </c>
      <c r="F106" s="0" t="s">
        <v>123</v>
      </c>
      <c r="G106" s="0" t="s">
        <v>9</v>
      </c>
      <c r="H106" s="0" t="str">
        <f aca="false">"187-198"</f>
        <v>187-198</v>
      </c>
      <c r="I106" s="0" t="s">
        <v>9</v>
      </c>
      <c r="J106" s="0" t="str">
        <f aca="false">"260-271"</f>
        <v>260-271</v>
      </c>
      <c r="K106" s="0" t="str">
        <f aca="false">"1.13"</f>
        <v>1.13</v>
      </c>
      <c r="L106" s="0" t="str">
        <f aca="false">"9.79"</f>
        <v>9.79</v>
      </c>
      <c r="M106" s="0" t="str">
        <f aca="false">"-170.3"</f>
        <v>-170.3</v>
      </c>
    </row>
    <row r="107" customFormat="false" ht="12.8" hidden="false" customHeight="false" outlineLevel="0" collapsed="false">
      <c r="A107" s="0" t="s">
        <v>8</v>
      </c>
      <c r="B107" s="0" t="s">
        <v>9</v>
      </c>
      <c r="C107" s="0" t="str">
        <f aca="false">"134-145"</f>
        <v>134-145</v>
      </c>
      <c r="D107" s="0" t="s">
        <v>9</v>
      </c>
      <c r="E107" s="0" t="str">
        <f aca="false">"229-240"</f>
        <v>229-240</v>
      </c>
      <c r="F107" s="0" t="s">
        <v>124</v>
      </c>
      <c r="G107" s="0" t="s">
        <v>9</v>
      </c>
      <c r="H107" s="0" t="str">
        <f aca="false">"16-27"</f>
        <v>16-27</v>
      </c>
      <c r="I107" s="0" t="s">
        <v>9</v>
      </c>
      <c r="J107" s="0" t="str">
        <f aca="false">"36-47"</f>
        <v>36-47</v>
      </c>
      <c r="K107" s="0" t="str">
        <f aca="false">"0.75"</f>
        <v>0.75</v>
      </c>
      <c r="L107" s="0" t="str">
        <f aca="false">"9.47"</f>
        <v>9.47</v>
      </c>
      <c r="M107" s="0" t="str">
        <f aca="false">"-157.2"</f>
        <v>-157.2</v>
      </c>
    </row>
    <row r="108" customFormat="false" ht="12.8" hidden="false" customHeight="false" outlineLevel="0" collapsed="false">
      <c r="A108" s="0" t="s">
        <v>8</v>
      </c>
      <c r="B108" s="0" t="s">
        <v>9</v>
      </c>
      <c r="C108" s="0" t="str">
        <f aca="false">"131-142"</f>
        <v>131-142</v>
      </c>
      <c r="D108" s="0" t="s">
        <v>9</v>
      </c>
      <c r="E108" s="0" t="str">
        <f aca="false">"233-244"</f>
        <v>233-244</v>
      </c>
      <c r="F108" s="0" t="s">
        <v>125</v>
      </c>
      <c r="G108" s="0" t="s">
        <v>9</v>
      </c>
      <c r="H108" s="0" t="str">
        <f aca="false">"8-19"</f>
        <v>8-19</v>
      </c>
      <c r="I108" s="0" t="s">
        <v>9</v>
      </c>
      <c r="J108" s="0" t="str">
        <f aca="false">"107-118"</f>
        <v>107-118</v>
      </c>
      <c r="K108" s="0" t="str">
        <f aca="false">"0.91"</f>
        <v>0.91</v>
      </c>
      <c r="L108" s="0" t="str">
        <f aca="false">"10.35"</f>
        <v>10.35</v>
      </c>
      <c r="M108" s="0" t="str">
        <f aca="false">"-160.6"</f>
        <v>-160.6</v>
      </c>
    </row>
    <row r="109" customFormat="false" ht="12.8" hidden="false" customHeight="false" outlineLevel="0" collapsed="false">
      <c r="A109" s="0" t="s">
        <v>8</v>
      </c>
      <c r="B109" s="0" t="s">
        <v>9</v>
      </c>
      <c r="C109" s="0" t="str">
        <f aca="false">"134-145"</f>
        <v>134-145</v>
      </c>
      <c r="D109" s="0" t="s">
        <v>9</v>
      </c>
      <c r="E109" s="0" t="str">
        <f aca="false">"229-240"</f>
        <v>229-240</v>
      </c>
      <c r="F109" s="0" t="s">
        <v>126</v>
      </c>
      <c r="G109" s="0" t="s">
        <v>9</v>
      </c>
      <c r="H109" s="0" t="str">
        <f aca="false">"507-518"</f>
        <v>507-518</v>
      </c>
      <c r="I109" s="0" t="s">
        <v>9</v>
      </c>
      <c r="J109" s="0" t="str">
        <f aca="false">"573-584"</f>
        <v>573-584</v>
      </c>
      <c r="K109" s="0" t="str">
        <f aca="false">"0.40"</f>
        <v>0.40</v>
      </c>
      <c r="L109" s="0" t="str">
        <f aca="false">"9.63"</f>
        <v>9.63</v>
      </c>
      <c r="M109" s="0" t="str">
        <f aca="false">"-152.2"</f>
        <v>-152.2</v>
      </c>
    </row>
    <row r="110" customFormat="false" ht="12.8" hidden="false" customHeight="false" outlineLevel="0" collapsed="false">
      <c r="A110" s="0" t="s">
        <v>8</v>
      </c>
      <c r="B110" s="0" t="s">
        <v>9</v>
      </c>
      <c r="C110" s="0" t="str">
        <f aca="false">"129-140"</f>
        <v>129-140</v>
      </c>
      <c r="D110" s="0" t="s">
        <v>9</v>
      </c>
      <c r="E110" s="0" t="str">
        <f aca="false">"233-244"</f>
        <v>233-244</v>
      </c>
      <c r="F110" s="0" t="s">
        <v>127</v>
      </c>
      <c r="G110" s="0" t="s">
        <v>9</v>
      </c>
      <c r="H110" s="0" t="str">
        <f aca="false">"71-82"</f>
        <v>71-82</v>
      </c>
      <c r="I110" s="0" t="s">
        <v>9</v>
      </c>
      <c r="J110" s="0" t="str">
        <f aca="false">"87-98"</f>
        <v>87-98</v>
      </c>
      <c r="K110" s="0" t="str">
        <f aca="false">"0.86"</f>
        <v>0.86</v>
      </c>
      <c r="L110" s="0" t="str">
        <f aca="false">"9.83"</f>
        <v>9.83</v>
      </c>
      <c r="M110" s="0" t="str">
        <f aca="false">"-160.5"</f>
        <v>-160.5</v>
      </c>
    </row>
    <row r="111" customFormat="false" ht="12.8" hidden="false" customHeight="false" outlineLevel="0" collapsed="false">
      <c r="A111" s="0" t="s">
        <v>8</v>
      </c>
      <c r="B111" s="0" t="s">
        <v>9</v>
      </c>
      <c r="C111" s="0" t="str">
        <f aca="false">"137-148"</f>
        <v>137-148</v>
      </c>
      <c r="D111" s="0" t="s">
        <v>9</v>
      </c>
      <c r="E111" s="0" t="str">
        <f aca="false">"226-237"</f>
        <v>226-237</v>
      </c>
      <c r="F111" s="0" t="s">
        <v>128</v>
      </c>
      <c r="G111" s="0" t="s">
        <v>9</v>
      </c>
      <c r="H111" s="0" t="str">
        <f aca="false">"108-119"</f>
        <v>108-119</v>
      </c>
      <c r="I111" s="0" t="s">
        <v>9</v>
      </c>
      <c r="J111" s="0" t="str">
        <f aca="false">"89-100"</f>
        <v>89-100</v>
      </c>
      <c r="K111" s="0" t="str">
        <f aca="false">"0.84"</f>
        <v>0.84</v>
      </c>
      <c r="L111" s="0" t="str">
        <f aca="false">"9.83"</f>
        <v>9.83</v>
      </c>
      <c r="M111" s="0" t="str">
        <f aca="false">"-142.2"</f>
        <v>-142.2</v>
      </c>
    </row>
    <row r="112" customFormat="false" ht="12.8" hidden="false" customHeight="false" outlineLevel="0" collapsed="false">
      <c r="A112" s="0" t="s">
        <v>8</v>
      </c>
      <c r="B112" s="0" t="s">
        <v>9</v>
      </c>
      <c r="C112" s="0" t="str">
        <f aca="false">"134-145"</f>
        <v>134-145</v>
      </c>
      <c r="D112" s="0" t="s">
        <v>9</v>
      </c>
      <c r="E112" s="0" t="str">
        <f aca="false">"229-240"</f>
        <v>229-240</v>
      </c>
      <c r="F112" s="0" t="s">
        <v>129</v>
      </c>
      <c r="G112" s="0" t="s">
        <v>13</v>
      </c>
      <c r="H112" s="0" t="str">
        <f aca="false">"339-350"</f>
        <v>339-350</v>
      </c>
      <c r="I112" s="0" t="s">
        <v>13</v>
      </c>
      <c r="J112" s="0" t="str">
        <f aca="false">"287-298"</f>
        <v>287-298</v>
      </c>
      <c r="K112" s="0" t="str">
        <f aca="false">"0.79"</f>
        <v>0.79</v>
      </c>
      <c r="L112" s="0" t="str">
        <f aca="false">"8.40"</f>
        <v>8.40</v>
      </c>
      <c r="M112" s="0" t="str">
        <f aca="false">"-152.5"</f>
        <v>-152.5</v>
      </c>
    </row>
    <row r="113" customFormat="false" ht="12.8" hidden="false" customHeight="false" outlineLevel="0" collapsed="false">
      <c r="A113" s="0" t="s">
        <v>8</v>
      </c>
      <c r="B113" s="0" t="s">
        <v>9</v>
      </c>
      <c r="C113" s="0" t="str">
        <f aca="false">"134-145"</f>
        <v>134-145</v>
      </c>
      <c r="D113" s="0" t="s">
        <v>9</v>
      </c>
      <c r="E113" s="0" t="str">
        <f aca="false">"229-240"</f>
        <v>229-240</v>
      </c>
      <c r="F113" s="0" t="s">
        <v>130</v>
      </c>
      <c r="G113" s="0" t="s">
        <v>9</v>
      </c>
      <c r="H113" s="0" t="str">
        <f aca="false">"75-86"</f>
        <v>75-86</v>
      </c>
      <c r="I113" s="0" t="s">
        <v>9</v>
      </c>
      <c r="J113" s="0" t="str">
        <f aca="false">"99-110"</f>
        <v>99-110</v>
      </c>
      <c r="K113" s="0" t="str">
        <f aca="false">"0.77"</f>
        <v>0.77</v>
      </c>
      <c r="L113" s="0" t="str">
        <f aca="false">"9.98"</f>
        <v>9.98</v>
      </c>
      <c r="M113" s="0" t="str">
        <f aca="false">"-155.6"</f>
        <v>-155.6</v>
      </c>
    </row>
    <row r="114" customFormat="false" ht="12.8" hidden="false" customHeight="false" outlineLevel="0" collapsed="false">
      <c r="A114" s="0" t="s">
        <v>8</v>
      </c>
      <c r="B114" s="0" t="s">
        <v>9</v>
      </c>
      <c r="C114" s="0" t="str">
        <f aca="false">"137-148"</f>
        <v>137-148</v>
      </c>
      <c r="D114" s="0" t="s">
        <v>9</v>
      </c>
      <c r="E114" s="0" t="str">
        <f aca="false">"225-236"</f>
        <v>225-236</v>
      </c>
      <c r="F114" s="0" t="s">
        <v>131</v>
      </c>
      <c r="G114" s="0" t="s">
        <v>9</v>
      </c>
      <c r="H114" s="0" t="str">
        <f aca="false">"230-241"</f>
        <v>230-241</v>
      </c>
      <c r="I114" s="0" t="s">
        <v>9</v>
      </c>
      <c r="J114" s="0" t="str">
        <f aca="false">"196-207"</f>
        <v>196-207</v>
      </c>
      <c r="K114" s="0" t="str">
        <f aca="false">"1.03"</f>
        <v>1.03</v>
      </c>
      <c r="L114" s="0" t="str">
        <f aca="false">"9.43"</f>
        <v>9.43</v>
      </c>
      <c r="M114" s="0" t="str">
        <f aca="false">"-138.0"</f>
        <v>-138.0</v>
      </c>
    </row>
    <row r="115" customFormat="false" ht="12.8" hidden="false" customHeight="false" outlineLevel="0" collapsed="false">
      <c r="A115" s="0" t="s">
        <v>8</v>
      </c>
      <c r="B115" s="0" t="s">
        <v>9</v>
      </c>
      <c r="C115" s="0" t="str">
        <f aca="false">"134-145"</f>
        <v>134-145</v>
      </c>
      <c r="D115" s="0" t="s">
        <v>9</v>
      </c>
      <c r="E115" s="0" t="str">
        <f aca="false">"229-240"</f>
        <v>229-240</v>
      </c>
      <c r="F115" s="0" t="s">
        <v>132</v>
      </c>
      <c r="G115" s="0" t="s">
        <v>9</v>
      </c>
      <c r="H115" s="0" t="str">
        <f aca="false">"116-127"</f>
        <v>116-127</v>
      </c>
      <c r="I115" s="0" t="s">
        <v>9</v>
      </c>
      <c r="J115" s="0" t="str">
        <f aca="false">"92-103"</f>
        <v>92-103</v>
      </c>
      <c r="K115" s="0" t="str">
        <f aca="false">"0.79"</f>
        <v>0.79</v>
      </c>
      <c r="L115" s="0" t="str">
        <f aca="false">"9.05"</f>
        <v>9.05</v>
      </c>
      <c r="M115" s="0" t="str">
        <f aca="false">"-160.4"</f>
        <v>-160.4</v>
      </c>
    </row>
    <row r="116" customFormat="false" ht="12.8" hidden="false" customHeight="false" outlineLevel="0" collapsed="false">
      <c r="A116" s="0" t="s">
        <v>8</v>
      </c>
      <c r="B116" s="0" t="s">
        <v>9</v>
      </c>
      <c r="C116" s="0" t="str">
        <f aca="false">"134-145"</f>
        <v>134-145</v>
      </c>
      <c r="D116" s="0" t="s">
        <v>9</v>
      </c>
      <c r="E116" s="0" t="str">
        <f aca="false">"229-240"</f>
        <v>229-240</v>
      </c>
      <c r="F116" s="0" t="s">
        <v>133</v>
      </c>
      <c r="G116" s="0" t="s">
        <v>13</v>
      </c>
      <c r="H116" s="0" t="str">
        <f aca="false">"4-15"</f>
        <v>4-15</v>
      </c>
      <c r="I116" s="0" t="s">
        <v>9</v>
      </c>
      <c r="J116" s="0" t="str">
        <f aca="false">"18-29"</f>
        <v>18-29</v>
      </c>
      <c r="K116" s="0" t="str">
        <f aca="false">"0.59"</f>
        <v>0.59</v>
      </c>
      <c r="L116" s="0" t="str">
        <f aca="false">"10.04"</f>
        <v>10.04</v>
      </c>
      <c r="M116" s="0" t="str">
        <f aca="false">"-154.5"</f>
        <v>-154.5</v>
      </c>
    </row>
    <row r="117" customFormat="false" ht="12.8" hidden="false" customHeight="false" outlineLevel="0" collapsed="false">
      <c r="A117" s="0" t="s">
        <v>8</v>
      </c>
      <c r="B117" s="0" t="s">
        <v>9</v>
      </c>
      <c r="C117" s="0" t="str">
        <f aca="false">"134-145"</f>
        <v>134-145</v>
      </c>
      <c r="D117" s="0" t="s">
        <v>9</v>
      </c>
      <c r="E117" s="0" t="str">
        <f aca="false">"229-240"</f>
        <v>229-240</v>
      </c>
      <c r="F117" s="0" t="s">
        <v>134</v>
      </c>
      <c r="G117" s="0" t="s">
        <v>9</v>
      </c>
      <c r="H117" s="0" t="str">
        <f aca="false">"67-78"</f>
        <v>67-78</v>
      </c>
      <c r="I117" s="0" t="s">
        <v>9</v>
      </c>
      <c r="J117" s="0" t="str">
        <f aca="false">"17-28"</f>
        <v>17-28</v>
      </c>
      <c r="K117" s="0" t="str">
        <f aca="false">"0.89"</f>
        <v>0.89</v>
      </c>
      <c r="L117" s="0" t="str">
        <f aca="false">"9.78"</f>
        <v>9.78</v>
      </c>
      <c r="M117" s="0" t="str">
        <f aca="false">"-142.1"</f>
        <v>-142.1</v>
      </c>
    </row>
    <row r="118" customFormat="false" ht="12.8" hidden="false" customHeight="false" outlineLevel="0" collapsed="false">
      <c r="A118" s="0" t="s">
        <v>8</v>
      </c>
      <c r="B118" s="0" t="s">
        <v>9</v>
      </c>
      <c r="C118" s="0" t="str">
        <f aca="false">"134-145"</f>
        <v>134-145</v>
      </c>
      <c r="D118" s="0" t="s">
        <v>9</v>
      </c>
      <c r="E118" s="0" t="str">
        <f aca="false">"229-240"</f>
        <v>229-240</v>
      </c>
      <c r="F118" s="0" t="s">
        <v>135</v>
      </c>
      <c r="G118" s="0" t="s">
        <v>13</v>
      </c>
      <c r="H118" s="0" t="str">
        <f aca="false">"205-216"</f>
        <v>205-216</v>
      </c>
      <c r="I118" s="0" t="s">
        <v>13</v>
      </c>
      <c r="J118" s="0" t="str">
        <f aca="false">"128-139"</f>
        <v>128-139</v>
      </c>
      <c r="K118" s="0" t="str">
        <f aca="false">"1.11"</f>
        <v>1.11</v>
      </c>
      <c r="L118" s="0" t="str">
        <f aca="false">"10.73"</f>
        <v>10.73</v>
      </c>
      <c r="M118" s="0" t="str">
        <f aca="false">"-142.9"</f>
        <v>-142.9</v>
      </c>
    </row>
    <row r="119" customFormat="false" ht="12.8" hidden="false" customHeight="false" outlineLevel="0" collapsed="false">
      <c r="A119" s="0" t="s">
        <v>8</v>
      </c>
      <c r="B119" s="0" t="s">
        <v>9</v>
      </c>
      <c r="C119" s="0" t="str">
        <f aca="false">"134-145"</f>
        <v>134-145</v>
      </c>
      <c r="D119" s="0" t="s">
        <v>9</v>
      </c>
      <c r="E119" s="0" t="str">
        <f aca="false">"229-240"</f>
        <v>229-240</v>
      </c>
      <c r="F119" s="0" t="s">
        <v>136</v>
      </c>
      <c r="G119" s="0" t="s">
        <v>9</v>
      </c>
      <c r="H119" s="0" t="str">
        <f aca="false">"103-114"</f>
        <v>103-114</v>
      </c>
      <c r="I119" s="0" t="s">
        <v>9</v>
      </c>
      <c r="J119" s="0" t="str">
        <f aca="false">"28-39"</f>
        <v>28-39</v>
      </c>
      <c r="K119" s="0" t="str">
        <f aca="false">"1.10"</f>
        <v>1.10</v>
      </c>
      <c r="L119" s="0" t="str">
        <f aca="false">"9.49"</f>
        <v>9.49</v>
      </c>
      <c r="M119" s="0" t="str">
        <f aca="false">"-168.0"</f>
        <v>-168.0</v>
      </c>
    </row>
    <row r="120" customFormat="false" ht="12.8" hidden="false" customHeight="false" outlineLevel="0" collapsed="false">
      <c r="A120" s="0" t="s">
        <v>8</v>
      </c>
      <c r="B120" s="0" t="s">
        <v>9</v>
      </c>
      <c r="C120" s="0" t="str">
        <f aca="false">"134-145"</f>
        <v>134-145</v>
      </c>
      <c r="D120" s="0" t="s">
        <v>9</v>
      </c>
      <c r="E120" s="0" t="str">
        <f aca="false">"229-240"</f>
        <v>229-240</v>
      </c>
      <c r="F120" s="0" t="s">
        <v>137</v>
      </c>
      <c r="G120" s="0" t="s">
        <v>9</v>
      </c>
      <c r="H120" s="0" t="str">
        <f aca="false">"9-20"</f>
        <v>9-20</v>
      </c>
      <c r="I120" s="0" t="s">
        <v>120</v>
      </c>
      <c r="J120" s="0" t="str">
        <f aca="false">"51-62"</f>
        <v>51-62</v>
      </c>
      <c r="K120" s="0" t="str">
        <f aca="false">"0.55"</f>
        <v>0.55</v>
      </c>
      <c r="L120" s="0" t="str">
        <f aca="false">"9.15"</f>
        <v>9.15</v>
      </c>
      <c r="M120" s="0" t="str">
        <f aca="false">"-160.1"</f>
        <v>-160.1</v>
      </c>
    </row>
    <row r="121" customFormat="false" ht="12.8" hidden="false" customHeight="false" outlineLevel="0" collapsed="false">
      <c r="A121" s="0" t="s">
        <v>8</v>
      </c>
      <c r="B121" s="0" t="s">
        <v>9</v>
      </c>
      <c r="C121" s="0" t="str">
        <f aca="false">"134-145"</f>
        <v>134-145</v>
      </c>
      <c r="D121" s="0" t="s">
        <v>9</v>
      </c>
      <c r="E121" s="0" t="str">
        <f aca="false">"229-240"</f>
        <v>229-240</v>
      </c>
      <c r="F121" s="0" t="s">
        <v>138</v>
      </c>
      <c r="G121" s="0" t="s">
        <v>9</v>
      </c>
      <c r="H121" s="0" t="str">
        <f aca="false">"100-111"</f>
        <v>100-111</v>
      </c>
      <c r="I121" s="0" t="s">
        <v>13</v>
      </c>
      <c r="J121" s="0" t="str">
        <f aca="false">"86-97"</f>
        <v>86-97</v>
      </c>
      <c r="K121" s="0" t="str">
        <f aca="false">"0.56"</f>
        <v>0.56</v>
      </c>
      <c r="L121" s="0" t="str">
        <f aca="false">"9.35"</f>
        <v>9.35</v>
      </c>
      <c r="M121" s="0" t="str">
        <f aca="false">"-150.1"</f>
        <v>-150.1</v>
      </c>
    </row>
    <row r="122" customFormat="false" ht="12.8" hidden="false" customHeight="false" outlineLevel="0" collapsed="false">
      <c r="A122" s="0" t="s">
        <v>8</v>
      </c>
      <c r="B122" s="0" t="s">
        <v>9</v>
      </c>
      <c r="C122" s="0" t="str">
        <f aca="false">"137-148"</f>
        <v>137-148</v>
      </c>
      <c r="D122" s="0" t="s">
        <v>9</v>
      </c>
      <c r="E122" s="0" t="str">
        <f aca="false">"226-237"</f>
        <v>226-237</v>
      </c>
      <c r="F122" s="0" t="s">
        <v>139</v>
      </c>
      <c r="G122" s="0" t="s">
        <v>9</v>
      </c>
      <c r="H122" s="0" t="str">
        <f aca="false">"751-762"</f>
        <v>751-762</v>
      </c>
      <c r="I122" s="0" t="s">
        <v>9</v>
      </c>
      <c r="J122" s="0" t="str">
        <f aca="false">"991-1002"</f>
        <v>991-1002</v>
      </c>
      <c r="K122" s="0" t="str">
        <f aca="false">"1.25"</f>
        <v>1.25</v>
      </c>
      <c r="L122" s="0" t="str">
        <f aca="false">"9.84"</f>
        <v>9.84</v>
      </c>
      <c r="M122" s="0" t="str">
        <f aca="false">"-146.4"</f>
        <v>-146.4</v>
      </c>
    </row>
    <row r="123" customFormat="false" ht="12.8" hidden="false" customHeight="false" outlineLevel="0" collapsed="false">
      <c r="A123" s="0" t="s">
        <v>8</v>
      </c>
      <c r="B123" s="0" t="s">
        <v>9</v>
      </c>
      <c r="C123" s="0" t="str">
        <f aca="false">"131-142"</f>
        <v>131-142</v>
      </c>
      <c r="D123" s="0" t="s">
        <v>9</v>
      </c>
      <c r="E123" s="0" t="str">
        <f aca="false">"230-241"</f>
        <v>230-241</v>
      </c>
      <c r="F123" s="0" t="s">
        <v>140</v>
      </c>
      <c r="G123" s="0" t="s">
        <v>9</v>
      </c>
      <c r="H123" s="0" t="str">
        <f aca="false">"4-15"</f>
        <v>4-15</v>
      </c>
      <c r="I123" s="0" t="s">
        <v>9</v>
      </c>
      <c r="J123" s="0" t="str">
        <f aca="false">"20-31"</f>
        <v>20-31</v>
      </c>
      <c r="K123" s="0" t="str">
        <f aca="false">"0.65"</f>
        <v>0.65</v>
      </c>
      <c r="L123" s="0" t="str">
        <f aca="false">"9.41"</f>
        <v>9.41</v>
      </c>
      <c r="M123" s="0" t="str">
        <f aca="false">"-154.0"</f>
        <v>-154.0</v>
      </c>
    </row>
    <row r="124" customFormat="false" ht="12.8" hidden="false" customHeight="false" outlineLevel="0" collapsed="false">
      <c r="A124" s="0" t="s">
        <v>8</v>
      </c>
      <c r="B124" s="0" t="s">
        <v>9</v>
      </c>
      <c r="C124" s="0" t="str">
        <f aca="false">"134-145"</f>
        <v>134-145</v>
      </c>
      <c r="D124" s="0" t="s">
        <v>9</v>
      </c>
      <c r="E124" s="0" t="str">
        <f aca="false">"229-240"</f>
        <v>229-240</v>
      </c>
      <c r="F124" s="0" t="s">
        <v>141</v>
      </c>
      <c r="G124" s="0" t="s">
        <v>9</v>
      </c>
      <c r="H124" s="0" t="str">
        <f aca="false">"113-124"</f>
        <v>113-124</v>
      </c>
      <c r="I124" s="0" t="s">
        <v>9</v>
      </c>
      <c r="J124" s="0" t="str">
        <f aca="false">"9-20"</f>
        <v>9-20</v>
      </c>
      <c r="K124" s="0" t="str">
        <f aca="false">"0.42"</f>
        <v>0.42</v>
      </c>
      <c r="L124" s="0" t="str">
        <f aca="false">"9.75"</f>
        <v>9.75</v>
      </c>
      <c r="M124" s="0" t="str">
        <f aca="false">"-154.0"</f>
        <v>-154.0</v>
      </c>
    </row>
    <row r="125" customFormat="false" ht="12.8" hidden="false" customHeight="false" outlineLevel="0" collapsed="false">
      <c r="A125" s="0" t="s">
        <v>8</v>
      </c>
      <c r="B125" s="0" t="s">
        <v>9</v>
      </c>
      <c r="C125" s="0" t="str">
        <f aca="false">"134-145"</f>
        <v>134-145</v>
      </c>
      <c r="D125" s="0" t="s">
        <v>9</v>
      </c>
      <c r="E125" s="0" t="str">
        <f aca="false">"229-240"</f>
        <v>229-240</v>
      </c>
      <c r="F125" s="0" t="s">
        <v>142</v>
      </c>
      <c r="G125" s="0" t="s">
        <v>9</v>
      </c>
      <c r="H125" s="0" t="str">
        <f aca="false">"268-279"</f>
        <v>268-279</v>
      </c>
      <c r="I125" s="0" t="s">
        <v>9</v>
      </c>
      <c r="J125" s="0" t="str">
        <f aca="false">"205-216"</f>
        <v>205-216</v>
      </c>
      <c r="K125" s="0" t="str">
        <f aca="false">"0.60"</f>
        <v>0.60</v>
      </c>
      <c r="L125" s="0" t="str">
        <f aca="false">"9.73"</f>
        <v>9.73</v>
      </c>
      <c r="M125" s="0" t="str">
        <f aca="false">"-155.1"</f>
        <v>-155.1</v>
      </c>
    </row>
    <row r="126" customFormat="false" ht="12.8" hidden="false" customHeight="false" outlineLevel="0" collapsed="false">
      <c r="A126" s="0" t="s">
        <v>8</v>
      </c>
      <c r="B126" s="0" t="s">
        <v>9</v>
      </c>
      <c r="C126" s="0" t="str">
        <f aca="false">"131-142"</f>
        <v>131-142</v>
      </c>
      <c r="D126" s="0" t="s">
        <v>9</v>
      </c>
      <c r="E126" s="0" t="str">
        <f aca="false">"232-243"</f>
        <v>232-243</v>
      </c>
      <c r="F126" s="0" t="s">
        <v>143</v>
      </c>
      <c r="G126" s="0" t="s">
        <v>9</v>
      </c>
      <c r="H126" s="0" t="str">
        <f aca="false">"429-440"</f>
        <v>429-440</v>
      </c>
      <c r="I126" s="0" t="s">
        <v>9</v>
      </c>
      <c r="J126" s="0" t="str">
        <f aca="false">"457-468"</f>
        <v>457-468</v>
      </c>
      <c r="K126" s="0" t="str">
        <f aca="false">"0.86"</f>
        <v>0.86</v>
      </c>
      <c r="L126" s="0" t="str">
        <f aca="false">"10.31"</f>
        <v>10.31</v>
      </c>
      <c r="M126" s="0" t="str">
        <f aca="false">"-148.9"</f>
        <v>-148.9</v>
      </c>
    </row>
    <row r="127" customFormat="false" ht="12.8" hidden="false" customHeight="false" outlineLevel="0" collapsed="false">
      <c r="A127" s="0" t="s">
        <v>8</v>
      </c>
      <c r="B127" s="0" t="s">
        <v>9</v>
      </c>
      <c r="C127" s="0" t="str">
        <f aca="false">"134-145"</f>
        <v>134-145</v>
      </c>
      <c r="D127" s="0" t="s">
        <v>9</v>
      </c>
      <c r="E127" s="0" t="str">
        <f aca="false">"226-237"</f>
        <v>226-237</v>
      </c>
      <c r="F127" s="0" t="s">
        <v>144</v>
      </c>
      <c r="G127" s="0" t="s">
        <v>120</v>
      </c>
      <c r="H127" s="0" t="str">
        <f aca="false">"592-603"</f>
        <v>592-603</v>
      </c>
      <c r="I127" s="0" t="s">
        <v>120</v>
      </c>
      <c r="J127" s="0" t="str">
        <f aca="false">"616-627"</f>
        <v>616-627</v>
      </c>
      <c r="K127" s="0" t="str">
        <f aca="false">"0.98"</f>
        <v>0.98</v>
      </c>
      <c r="L127" s="0" t="str">
        <f aca="false">"10.76"</f>
        <v>10.76</v>
      </c>
      <c r="M127" s="0" t="str">
        <f aca="false">"-153.9"</f>
        <v>-153.9</v>
      </c>
    </row>
    <row r="128" customFormat="false" ht="12.8" hidden="false" customHeight="false" outlineLevel="0" collapsed="false">
      <c r="A128" s="0" t="s">
        <v>8</v>
      </c>
      <c r="B128" s="0" t="s">
        <v>9</v>
      </c>
      <c r="C128" s="0" t="str">
        <f aca="false">"134-145"</f>
        <v>134-145</v>
      </c>
      <c r="D128" s="0" t="s">
        <v>9</v>
      </c>
      <c r="E128" s="0" t="str">
        <f aca="false">"229-240"</f>
        <v>229-240</v>
      </c>
      <c r="F128" s="0" t="s">
        <v>145</v>
      </c>
      <c r="G128" s="0" t="s">
        <v>13</v>
      </c>
      <c r="H128" s="0" t="str">
        <f aca="false">"149-160"</f>
        <v>149-160</v>
      </c>
      <c r="I128" s="0" t="s">
        <v>13</v>
      </c>
      <c r="J128" s="0" t="str">
        <f aca="false">"105-116"</f>
        <v>105-116</v>
      </c>
      <c r="K128" s="0" t="str">
        <f aca="false">"0.67"</f>
        <v>0.67</v>
      </c>
      <c r="L128" s="0" t="str">
        <f aca="false">"9.08"</f>
        <v>9.08</v>
      </c>
      <c r="M128" s="0" t="str">
        <f aca="false">"-152.4"</f>
        <v>-152.4</v>
      </c>
    </row>
    <row r="129" customFormat="false" ht="12.8" hidden="false" customHeight="false" outlineLevel="0" collapsed="false">
      <c r="A129" s="0" t="s">
        <v>8</v>
      </c>
      <c r="B129" s="0" t="s">
        <v>9</v>
      </c>
      <c r="C129" s="0" t="str">
        <f aca="false">"134-145"</f>
        <v>134-145</v>
      </c>
      <c r="D129" s="0" t="s">
        <v>9</v>
      </c>
      <c r="E129" s="0" t="str">
        <f aca="false">"226-237"</f>
        <v>226-237</v>
      </c>
      <c r="F129" s="0" t="s">
        <v>146</v>
      </c>
      <c r="G129" s="0" t="s">
        <v>9</v>
      </c>
      <c r="H129" s="0" t="str">
        <f aca="false">"208-219"</f>
        <v>208-219</v>
      </c>
      <c r="I129" s="0" t="s">
        <v>9</v>
      </c>
      <c r="J129" s="0" t="str">
        <f aca="false">"143-154"</f>
        <v>143-154</v>
      </c>
      <c r="K129" s="0" t="str">
        <f aca="false">"0.64"</f>
        <v>0.64</v>
      </c>
      <c r="L129" s="0" t="str">
        <f aca="false">"10.01"</f>
        <v>10.01</v>
      </c>
      <c r="M129" s="0" t="str">
        <f aca="false">"-151.9"</f>
        <v>-151.9</v>
      </c>
    </row>
    <row r="130" customFormat="false" ht="12.8" hidden="false" customHeight="false" outlineLevel="0" collapsed="false">
      <c r="A130" s="0" t="s">
        <v>8</v>
      </c>
      <c r="B130" s="0" t="s">
        <v>9</v>
      </c>
      <c r="C130" s="0" t="str">
        <f aca="false">"131-142"</f>
        <v>131-142</v>
      </c>
      <c r="D130" s="0" t="s">
        <v>9</v>
      </c>
      <c r="E130" s="0" t="str">
        <f aca="false">"233-244"</f>
        <v>233-244</v>
      </c>
      <c r="F130" s="0" t="s">
        <v>147</v>
      </c>
      <c r="G130" s="0" t="s">
        <v>13</v>
      </c>
      <c r="H130" s="0" t="str">
        <f aca="false">"253-264"</f>
        <v>253-264</v>
      </c>
      <c r="I130" s="0" t="s">
        <v>13</v>
      </c>
      <c r="J130" s="0" t="str">
        <f aca="false">"158-169"</f>
        <v>158-169</v>
      </c>
      <c r="K130" s="0" t="str">
        <f aca="false">"1.10"</f>
        <v>1.10</v>
      </c>
      <c r="L130" s="0" t="str">
        <f aca="false">"10.50"</f>
        <v>10.50</v>
      </c>
      <c r="M130" s="0" t="str">
        <f aca="false">"-163.1"</f>
        <v>-163.1</v>
      </c>
    </row>
    <row r="131" customFormat="false" ht="12.8" hidden="false" customHeight="false" outlineLevel="0" collapsed="false">
      <c r="A131" s="0" t="s">
        <v>8</v>
      </c>
      <c r="B131" s="0" t="s">
        <v>9</v>
      </c>
      <c r="C131" s="0" t="str">
        <f aca="false">"137-148"</f>
        <v>137-148</v>
      </c>
      <c r="D131" s="0" t="s">
        <v>9</v>
      </c>
      <c r="E131" s="0" t="str">
        <f aca="false">"226-237"</f>
        <v>226-237</v>
      </c>
      <c r="F131" s="0" t="s">
        <v>148</v>
      </c>
      <c r="G131" s="0" t="s">
        <v>9</v>
      </c>
      <c r="H131" s="0" t="str">
        <f aca="false">"192-203"</f>
        <v>192-203</v>
      </c>
      <c r="I131" s="0" t="s">
        <v>9</v>
      </c>
      <c r="J131" s="0" t="str">
        <f aca="false">"211-222"</f>
        <v>211-222</v>
      </c>
      <c r="K131" s="0" t="str">
        <f aca="false">"0.49"</f>
        <v>0.49</v>
      </c>
      <c r="L131" s="0" t="str">
        <f aca="false">"9.29"</f>
        <v>9.29</v>
      </c>
      <c r="M131" s="0" t="str">
        <f aca="false">"-159.0"</f>
        <v>-159.0</v>
      </c>
    </row>
    <row r="132" customFormat="false" ht="12.8" hidden="false" customHeight="false" outlineLevel="0" collapsed="false">
      <c r="A132" s="0" t="s">
        <v>8</v>
      </c>
      <c r="B132" s="0" t="s">
        <v>9</v>
      </c>
      <c r="C132" s="0" t="str">
        <f aca="false">"131-142"</f>
        <v>131-142</v>
      </c>
      <c r="D132" s="0" t="s">
        <v>9</v>
      </c>
      <c r="E132" s="0" t="str">
        <f aca="false">"229-240"</f>
        <v>229-240</v>
      </c>
      <c r="F132" s="0" t="s">
        <v>149</v>
      </c>
      <c r="G132" s="0" t="s">
        <v>9</v>
      </c>
      <c r="H132" s="0" t="str">
        <f aca="false">"175-186"</f>
        <v>175-186</v>
      </c>
      <c r="I132" s="0" t="s">
        <v>9</v>
      </c>
      <c r="J132" s="0" t="str">
        <f aca="false">"219-230"</f>
        <v>219-230</v>
      </c>
      <c r="K132" s="0" t="str">
        <f aca="false">"0.67"</f>
        <v>0.67</v>
      </c>
      <c r="L132" s="0" t="str">
        <f aca="false">"9.82"</f>
        <v>9.82</v>
      </c>
      <c r="M132" s="0" t="str">
        <f aca="false">"-159.9"</f>
        <v>-159.9</v>
      </c>
    </row>
    <row r="133" customFormat="false" ht="12.8" hidden="false" customHeight="false" outlineLevel="0" collapsed="false">
      <c r="A133" s="0" t="s">
        <v>8</v>
      </c>
      <c r="B133" s="0" t="s">
        <v>9</v>
      </c>
      <c r="C133" s="0" t="str">
        <f aca="false">"134-145"</f>
        <v>134-145</v>
      </c>
      <c r="D133" s="0" t="s">
        <v>9</v>
      </c>
      <c r="E133" s="0" t="str">
        <f aca="false">"229-240"</f>
        <v>229-240</v>
      </c>
      <c r="F133" s="0" t="s">
        <v>150</v>
      </c>
      <c r="G133" s="0" t="s">
        <v>9</v>
      </c>
      <c r="H133" s="0" t="str">
        <f aca="false">"271-282"</f>
        <v>271-282</v>
      </c>
      <c r="I133" s="0" t="s">
        <v>9</v>
      </c>
      <c r="J133" s="0" t="str">
        <f aca="false">"158-169"</f>
        <v>158-169</v>
      </c>
      <c r="K133" s="0" t="str">
        <f aca="false">"0.89"</f>
        <v>0.89</v>
      </c>
      <c r="L133" s="0" t="str">
        <f aca="false">"10.04"</f>
        <v>10.04</v>
      </c>
      <c r="M133" s="0" t="str">
        <f aca="false">"-151.5"</f>
        <v>-151.5</v>
      </c>
    </row>
    <row r="134" customFormat="false" ht="12.8" hidden="false" customHeight="false" outlineLevel="0" collapsed="false">
      <c r="A134" s="0" t="s">
        <v>8</v>
      </c>
      <c r="B134" s="0" t="s">
        <v>9</v>
      </c>
      <c r="C134" s="0" t="str">
        <f aca="false">"130-141"</f>
        <v>130-141</v>
      </c>
      <c r="D134" s="0" t="s">
        <v>9</v>
      </c>
      <c r="E134" s="0" t="str">
        <f aca="false">"232-243"</f>
        <v>232-243</v>
      </c>
      <c r="F134" s="0" t="s">
        <v>151</v>
      </c>
      <c r="G134" s="0" t="s">
        <v>9</v>
      </c>
      <c r="H134" s="0" t="str">
        <f aca="false">"83-94"</f>
        <v>83-94</v>
      </c>
      <c r="I134" s="0" t="s">
        <v>9</v>
      </c>
      <c r="J134" s="0" t="str">
        <f aca="false">"62-73"</f>
        <v>62-73</v>
      </c>
      <c r="K134" s="0" t="str">
        <f aca="false">"0.74"</f>
        <v>0.74</v>
      </c>
      <c r="L134" s="0" t="str">
        <f aca="false">"10.33"</f>
        <v>10.33</v>
      </c>
      <c r="M134" s="0" t="str">
        <f aca="false">"-160.7"</f>
        <v>-160.7</v>
      </c>
    </row>
    <row r="135" customFormat="false" ht="12.8" hidden="false" customHeight="false" outlineLevel="0" collapsed="false">
      <c r="A135" s="0" t="s">
        <v>8</v>
      </c>
      <c r="B135" s="0" t="s">
        <v>9</v>
      </c>
      <c r="C135" s="0" t="str">
        <f aca="false">"131-142"</f>
        <v>131-142</v>
      </c>
      <c r="D135" s="0" t="s">
        <v>9</v>
      </c>
      <c r="E135" s="0" t="str">
        <f aca="false">"230-241"</f>
        <v>230-241</v>
      </c>
      <c r="F135" s="0" t="s">
        <v>152</v>
      </c>
      <c r="G135" s="0" t="s">
        <v>13</v>
      </c>
      <c r="H135" s="0" t="str">
        <f aca="false">"50-61"</f>
        <v>50-61</v>
      </c>
      <c r="I135" s="0" t="s">
        <v>9</v>
      </c>
      <c r="J135" s="0" t="str">
        <f aca="false">"57-68"</f>
        <v>57-68</v>
      </c>
      <c r="K135" s="0" t="str">
        <f aca="false">"1.10"</f>
        <v>1.10</v>
      </c>
      <c r="L135" s="0" t="str">
        <f aca="false">"11.11"</f>
        <v>11.11</v>
      </c>
      <c r="M135" s="0" t="str">
        <f aca="false">"-163.1"</f>
        <v>-163.1</v>
      </c>
    </row>
    <row r="136" customFormat="false" ht="12.8" hidden="false" customHeight="false" outlineLevel="0" collapsed="false">
      <c r="A136" s="0" t="s">
        <v>8</v>
      </c>
      <c r="B136" s="0" t="s">
        <v>9</v>
      </c>
      <c r="C136" s="0" t="str">
        <f aca="false">"131-142"</f>
        <v>131-142</v>
      </c>
      <c r="D136" s="0" t="s">
        <v>9</v>
      </c>
      <c r="E136" s="0" t="str">
        <f aca="false">"229-240"</f>
        <v>229-240</v>
      </c>
      <c r="F136" s="0" t="s">
        <v>153</v>
      </c>
      <c r="G136" s="0" t="s">
        <v>9</v>
      </c>
      <c r="H136" s="0" t="str">
        <f aca="false">"98-109"</f>
        <v>98-109</v>
      </c>
      <c r="I136" s="0" t="s">
        <v>9</v>
      </c>
      <c r="J136" s="0" t="str">
        <f aca="false">"85-96"</f>
        <v>85-96</v>
      </c>
      <c r="K136" s="0" t="str">
        <f aca="false">"0.79"</f>
        <v>0.79</v>
      </c>
      <c r="L136" s="0" t="str">
        <f aca="false">"10.57"</f>
        <v>10.57</v>
      </c>
      <c r="M136" s="0" t="str">
        <f aca="false">"-158.7"</f>
        <v>-158.7</v>
      </c>
    </row>
    <row r="137" customFormat="false" ht="12.8" hidden="false" customHeight="false" outlineLevel="0" collapsed="false">
      <c r="A137" s="0" t="s">
        <v>8</v>
      </c>
      <c r="B137" s="0" t="s">
        <v>9</v>
      </c>
      <c r="C137" s="0" t="str">
        <f aca="false">"134-145"</f>
        <v>134-145</v>
      </c>
      <c r="D137" s="0" t="s">
        <v>9</v>
      </c>
      <c r="E137" s="0" t="str">
        <f aca="false">"229-240"</f>
        <v>229-240</v>
      </c>
      <c r="F137" s="0" t="s">
        <v>154</v>
      </c>
      <c r="G137" s="0" t="s">
        <v>13</v>
      </c>
      <c r="H137" s="0" t="str">
        <f aca="false">"433-444"</f>
        <v>433-444</v>
      </c>
      <c r="I137" s="0" t="s">
        <v>13</v>
      </c>
      <c r="J137" s="0" t="str">
        <f aca="false">"260-271"</f>
        <v>260-271</v>
      </c>
      <c r="K137" s="0" t="str">
        <f aca="false">"1.23"</f>
        <v>1.23</v>
      </c>
      <c r="L137" s="0" t="str">
        <f aca="false">"9.93"</f>
        <v>9.93</v>
      </c>
      <c r="M137" s="0" t="str">
        <f aca="false">"-150.5"</f>
        <v>-150.5</v>
      </c>
    </row>
    <row r="138" customFormat="false" ht="12.8" hidden="false" customHeight="false" outlineLevel="0" collapsed="false">
      <c r="A138" s="0" t="s">
        <v>8</v>
      </c>
      <c r="B138" s="0" t="s">
        <v>9</v>
      </c>
      <c r="C138" s="0" t="str">
        <f aca="false">"134-145"</f>
        <v>134-145</v>
      </c>
      <c r="D138" s="0" t="s">
        <v>9</v>
      </c>
      <c r="E138" s="0" t="str">
        <f aca="false">"229-240"</f>
        <v>229-240</v>
      </c>
      <c r="F138" s="0" t="s">
        <v>155</v>
      </c>
      <c r="G138" s="0" t="s">
        <v>9</v>
      </c>
      <c r="H138" s="0" t="str">
        <f aca="false">"61-72"</f>
        <v>61-72</v>
      </c>
      <c r="I138" s="0" t="s">
        <v>9</v>
      </c>
      <c r="J138" s="0" t="str">
        <f aca="false">"140-151"</f>
        <v>140-151</v>
      </c>
      <c r="K138" s="0" t="str">
        <f aca="false">"0.60"</f>
        <v>0.60</v>
      </c>
      <c r="L138" s="0" t="str">
        <f aca="false">"8.97"</f>
        <v>8.97</v>
      </c>
      <c r="M138" s="0" t="str">
        <f aca="false">"-161.1"</f>
        <v>-161.1</v>
      </c>
    </row>
    <row r="139" customFormat="false" ht="12.8" hidden="false" customHeight="false" outlineLevel="0" collapsed="false">
      <c r="A139" s="0" t="s">
        <v>8</v>
      </c>
      <c r="B139" s="0" t="s">
        <v>9</v>
      </c>
      <c r="C139" s="0" t="str">
        <f aca="false">"134-145"</f>
        <v>134-145</v>
      </c>
      <c r="D139" s="0" t="s">
        <v>9</v>
      </c>
      <c r="E139" s="0" t="str">
        <f aca="false">"229-240"</f>
        <v>229-240</v>
      </c>
      <c r="F139" s="0" t="s">
        <v>156</v>
      </c>
      <c r="G139" s="0" t="s">
        <v>13</v>
      </c>
      <c r="H139" s="0" t="str">
        <f aca="false">"196-207"</f>
        <v>196-207</v>
      </c>
      <c r="I139" s="0" t="s">
        <v>9</v>
      </c>
      <c r="J139" s="0" t="str">
        <f aca="false">"196-207"</f>
        <v>196-207</v>
      </c>
      <c r="K139" s="0" t="str">
        <f aca="false">"0.45"</f>
        <v>0.45</v>
      </c>
      <c r="L139" s="0" t="str">
        <f aca="false">"9.76"</f>
        <v>9.76</v>
      </c>
      <c r="M139" s="0" t="str">
        <f aca="false">"-157.7"</f>
        <v>-157.7</v>
      </c>
    </row>
    <row r="140" customFormat="false" ht="12.8" hidden="false" customHeight="false" outlineLevel="0" collapsed="false">
      <c r="A140" s="0" t="s">
        <v>8</v>
      </c>
      <c r="B140" s="0" t="s">
        <v>9</v>
      </c>
      <c r="C140" s="0" t="str">
        <f aca="false">"131-142"</f>
        <v>131-142</v>
      </c>
      <c r="D140" s="0" t="s">
        <v>9</v>
      </c>
      <c r="E140" s="0" t="str">
        <f aca="false">"233-244"</f>
        <v>233-244</v>
      </c>
      <c r="F140" s="0" t="s">
        <v>157</v>
      </c>
      <c r="G140" s="0" t="s">
        <v>9</v>
      </c>
      <c r="H140" s="0" t="str">
        <f aca="false">"186-197"</f>
        <v>186-197</v>
      </c>
      <c r="I140" s="0" t="s">
        <v>9</v>
      </c>
      <c r="J140" s="0" t="str">
        <f aca="false">"112-123"</f>
        <v>112-123</v>
      </c>
      <c r="K140" s="0" t="str">
        <f aca="false">"0.79"</f>
        <v>0.79</v>
      </c>
      <c r="L140" s="0" t="str">
        <f aca="false">"10.05"</f>
        <v>10.05</v>
      </c>
      <c r="M140" s="0" t="str">
        <f aca="false">"-152.4"</f>
        <v>-152.4</v>
      </c>
    </row>
    <row r="141" customFormat="false" ht="12.8" hidden="false" customHeight="false" outlineLevel="0" collapsed="false">
      <c r="A141" s="0" t="s">
        <v>8</v>
      </c>
      <c r="B141" s="0" t="s">
        <v>9</v>
      </c>
      <c r="C141" s="0" t="str">
        <f aca="false">"134-145"</f>
        <v>134-145</v>
      </c>
      <c r="D141" s="0" t="s">
        <v>9</v>
      </c>
      <c r="E141" s="0" t="str">
        <f aca="false">"229-240"</f>
        <v>229-240</v>
      </c>
      <c r="F141" s="0" t="s">
        <v>158</v>
      </c>
      <c r="G141" s="0" t="s">
        <v>9</v>
      </c>
      <c r="H141" s="0" t="str">
        <f aca="false">"84-95"</f>
        <v>84-95</v>
      </c>
      <c r="I141" s="0" t="s">
        <v>9</v>
      </c>
      <c r="J141" s="0" t="str">
        <f aca="false">"110-121"</f>
        <v>110-121</v>
      </c>
      <c r="K141" s="0" t="str">
        <f aca="false">"0.97"</f>
        <v>0.97</v>
      </c>
      <c r="L141" s="0" t="str">
        <f aca="false">"8.67"</f>
        <v>8.67</v>
      </c>
      <c r="M141" s="0" t="str">
        <f aca="false">"-164.4"</f>
        <v>-164.4</v>
      </c>
    </row>
    <row r="142" customFormat="false" ht="12.8" hidden="false" customHeight="false" outlineLevel="0" collapsed="false">
      <c r="A142" s="0" t="s">
        <v>8</v>
      </c>
      <c r="B142" s="0" t="s">
        <v>9</v>
      </c>
      <c r="C142" s="0" t="str">
        <f aca="false">"134-145"</f>
        <v>134-145</v>
      </c>
      <c r="D142" s="0" t="s">
        <v>9</v>
      </c>
      <c r="E142" s="0" t="str">
        <f aca="false">"229-240"</f>
        <v>229-240</v>
      </c>
      <c r="F142" s="0" t="s">
        <v>159</v>
      </c>
      <c r="G142" s="0" t="s">
        <v>9</v>
      </c>
      <c r="H142" s="0" t="str">
        <f aca="false">"17-28"</f>
        <v>17-28</v>
      </c>
      <c r="I142" s="0" t="s">
        <v>9</v>
      </c>
      <c r="J142" s="0" t="str">
        <f aca="false">"59-70"</f>
        <v>59-70</v>
      </c>
      <c r="K142" s="0" t="str">
        <f aca="false">"0.60"</f>
        <v>0.60</v>
      </c>
      <c r="L142" s="0" t="str">
        <f aca="false">"9.43"</f>
        <v>9.43</v>
      </c>
      <c r="M142" s="0" t="str">
        <f aca="false">"-148.8"</f>
        <v>-148.8</v>
      </c>
    </row>
    <row r="143" customFormat="false" ht="12.8" hidden="false" customHeight="false" outlineLevel="0" collapsed="false">
      <c r="A143" s="0" t="s">
        <v>8</v>
      </c>
      <c r="B143" s="0" t="s">
        <v>9</v>
      </c>
      <c r="C143" s="0" t="str">
        <f aca="false">"134-145"</f>
        <v>134-145</v>
      </c>
      <c r="D143" s="0" t="s">
        <v>9</v>
      </c>
      <c r="E143" s="0" t="str">
        <f aca="false">"229-240"</f>
        <v>229-240</v>
      </c>
      <c r="F143" s="0" t="s">
        <v>160</v>
      </c>
      <c r="G143" s="0" t="s">
        <v>13</v>
      </c>
      <c r="H143" s="0" t="str">
        <f aca="false">"236-247"</f>
        <v>236-247</v>
      </c>
      <c r="I143" s="0" t="s">
        <v>13</v>
      </c>
      <c r="J143" s="0" t="str">
        <f aca="false">"199-210"</f>
        <v>199-210</v>
      </c>
      <c r="K143" s="0" t="str">
        <f aca="false">"1.10"</f>
        <v>1.10</v>
      </c>
      <c r="L143" s="0" t="str">
        <f aca="false">"9.12"</f>
        <v>9.12</v>
      </c>
      <c r="M143" s="0" t="str">
        <f aca="false">"-151.2"</f>
        <v>-151.2</v>
      </c>
    </row>
    <row r="144" customFormat="false" ht="12.8" hidden="false" customHeight="false" outlineLevel="0" collapsed="false">
      <c r="A144" s="0" t="s">
        <v>8</v>
      </c>
      <c r="B144" s="0" t="s">
        <v>9</v>
      </c>
      <c r="C144" s="0" t="str">
        <f aca="false">"131-142"</f>
        <v>131-142</v>
      </c>
      <c r="D144" s="0" t="s">
        <v>9</v>
      </c>
      <c r="E144" s="0" t="str">
        <f aca="false">"229-240"</f>
        <v>229-240</v>
      </c>
      <c r="F144" s="0" t="s">
        <v>161</v>
      </c>
      <c r="G144" s="0" t="s">
        <v>9</v>
      </c>
      <c r="H144" s="0" t="str">
        <f aca="false">"164-175"</f>
        <v>164-175</v>
      </c>
      <c r="I144" s="0" t="s">
        <v>9</v>
      </c>
      <c r="J144" s="0" t="str">
        <f aca="false">"218-229"</f>
        <v>218-229</v>
      </c>
      <c r="K144" s="0" t="str">
        <f aca="false">"1.17"</f>
        <v>1.17</v>
      </c>
      <c r="L144" s="0" t="str">
        <f aca="false">"9.52"</f>
        <v>9.52</v>
      </c>
      <c r="M144" s="0" t="str">
        <f aca="false">"-163.6"</f>
        <v>-163.6</v>
      </c>
    </row>
    <row r="145" customFormat="false" ht="12.8" hidden="false" customHeight="false" outlineLevel="0" collapsed="false">
      <c r="A145" s="0" t="s">
        <v>8</v>
      </c>
      <c r="B145" s="0" t="s">
        <v>9</v>
      </c>
      <c r="C145" s="0" t="str">
        <f aca="false">"131-142"</f>
        <v>131-142</v>
      </c>
      <c r="D145" s="0" t="s">
        <v>9</v>
      </c>
      <c r="E145" s="0" t="str">
        <f aca="false">"230-241"</f>
        <v>230-241</v>
      </c>
      <c r="F145" s="0" t="s">
        <v>162</v>
      </c>
      <c r="G145" s="0" t="s">
        <v>9</v>
      </c>
      <c r="H145" s="0" t="str">
        <f aca="false">"79-90"</f>
        <v>79-90</v>
      </c>
      <c r="I145" s="0" t="s">
        <v>9</v>
      </c>
      <c r="J145" s="0" t="str">
        <f aca="false">"95-106"</f>
        <v>95-106</v>
      </c>
      <c r="K145" s="0" t="str">
        <f aca="false">"0.66"</f>
        <v>0.66</v>
      </c>
      <c r="L145" s="0" t="str">
        <f aca="false">"9.41"</f>
        <v>9.41</v>
      </c>
      <c r="M145" s="0" t="str">
        <f aca="false">"-156.0"</f>
        <v>-156.0</v>
      </c>
    </row>
    <row r="146" customFormat="false" ht="12.8" hidden="false" customHeight="false" outlineLevel="0" collapsed="false">
      <c r="A146" s="0" t="s">
        <v>8</v>
      </c>
      <c r="B146" s="0" t="s">
        <v>9</v>
      </c>
      <c r="C146" s="0" t="str">
        <f aca="false">"131-142"</f>
        <v>131-142</v>
      </c>
      <c r="D146" s="0" t="s">
        <v>9</v>
      </c>
      <c r="E146" s="0" t="str">
        <f aca="false">"229-240"</f>
        <v>229-240</v>
      </c>
      <c r="F146" s="0" t="s">
        <v>163</v>
      </c>
      <c r="G146" s="0" t="s">
        <v>9</v>
      </c>
      <c r="H146" s="0" t="str">
        <f aca="false">"120-131"</f>
        <v>120-131</v>
      </c>
      <c r="I146" s="0" t="s">
        <v>9</v>
      </c>
      <c r="J146" s="0" t="str">
        <f aca="false">"87-98"</f>
        <v>87-98</v>
      </c>
      <c r="K146" s="0" t="str">
        <f aca="false">"0.68"</f>
        <v>0.68</v>
      </c>
      <c r="L146" s="0" t="str">
        <f aca="false">"10.04"</f>
        <v>10.04</v>
      </c>
      <c r="M146" s="0" t="str">
        <f aca="false">"-160.6"</f>
        <v>-160.6</v>
      </c>
    </row>
    <row r="147" customFormat="false" ht="12.8" hidden="false" customHeight="false" outlineLevel="0" collapsed="false">
      <c r="A147" s="0" t="s">
        <v>8</v>
      </c>
      <c r="B147" s="0" t="s">
        <v>9</v>
      </c>
      <c r="C147" s="0" t="str">
        <f aca="false">"131-142"</f>
        <v>131-142</v>
      </c>
      <c r="D147" s="0" t="s">
        <v>9</v>
      </c>
      <c r="E147" s="0" t="str">
        <f aca="false">"229-240"</f>
        <v>229-240</v>
      </c>
      <c r="F147" s="0" t="s">
        <v>164</v>
      </c>
      <c r="G147" s="0" t="s">
        <v>9</v>
      </c>
      <c r="H147" s="0" t="str">
        <f aca="false">"93-104"</f>
        <v>93-104</v>
      </c>
      <c r="I147" s="0" t="s">
        <v>9</v>
      </c>
      <c r="J147" s="0" t="str">
        <f aca="false">"182-193"</f>
        <v>182-193</v>
      </c>
      <c r="K147" s="0" t="str">
        <f aca="false">"1.06"</f>
        <v>1.06</v>
      </c>
      <c r="L147" s="0" t="str">
        <f aca="false">"9.64"</f>
        <v>9.64</v>
      </c>
      <c r="M147" s="0" t="str">
        <f aca="false">"-166.3"</f>
        <v>-166.3</v>
      </c>
    </row>
    <row r="148" customFormat="false" ht="12.8" hidden="false" customHeight="false" outlineLevel="0" collapsed="false">
      <c r="A148" s="0" t="s">
        <v>8</v>
      </c>
      <c r="B148" s="0" t="s">
        <v>9</v>
      </c>
      <c r="C148" s="0" t="str">
        <f aca="false">"134-145"</f>
        <v>134-145</v>
      </c>
      <c r="D148" s="0" t="s">
        <v>9</v>
      </c>
      <c r="E148" s="0" t="str">
        <f aca="false">"229-240"</f>
        <v>229-240</v>
      </c>
      <c r="F148" s="0" t="s">
        <v>165</v>
      </c>
      <c r="G148" s="0" t="s">
        <v>9</v>
      </c>
      <c r="H148" s="0" t="str">
        <f aca="false">"389-400"</f>
        <v>389-400</v>
      </c>
      <c r="I148" s="0" t="s">
        <v>9</v>
      </c>
      <c r="J148" s="0" t="str">
        <f aca="false">"414-425"</f>
        <v>414-425</v>
      </c>
      <c r="K148" s="0" t="str">
        <f aca="false">"0.92"</f>
        <v>0.92</v>
      </c>
      <c r="L148" s="0" t="str">
        <f aca="false">"9.61"</f>
        <v>9.61</v>
      </c>
      <c r="M148" s="0" t="str">
        <f aca="false">"-153.1"</f>
        <v>-153.1</v>
      </c>
    </row>
    <row r="149" customFormat="false" ht="12.8" hidden="false" customHeight="false" outlineLevel="0" collapsed="false">
      <c r="A149" s="0" t="s">
        <v>8</v>
      </c>
      <c r="B149" s="0" t="s">
        <v>9</v>
      </c>
      <c r="C149" s="0" t="str">
        <f aca="false">"134-145"</f>
        <v>134-145</v>
      </c>
      <c r="D149" s="0" t="s">
        <v>9</v>
      </c>
      <c r="E149" s="0" t="str">
        <f aca="false">"229-240"</f>
        <v>229-240</v>
      </c>
      <c r="F149" s="0" t="s">
        <v>166</v>
      </c>
      <c r="G149" s="0" t="s">
        <v>9</v>
      </c>
      <c r="H149" s="0" t="str">
        <f aca="false">"36-47"</f>
        <v>36-47</v>
      </c>
      <c r="I149" s="0" t="s">
        <v>9</v>
      </c>
      <c r="J149" s="0" t="str">
        <f aca="false">"134-145"</f>
        <v>134-145</v>
      </c>
      <c r="K149" s="0" t="str">
        <f aca="false">"1.22"</f>
        <v>1.22</v>
      </c>
      <c r="L149" s="0" t="str">
        <f aca="false">"11.12"</f>
        <v>11.12</v>
      </c>
      <c r="M149" s="0" t="str">
        <f aca="false">"-168.1"</f>
        <v>-168.1</v>
      </c>
    </row>
    <row r="150" customFormat="false" ht="12.8" hidden="false" customHeight="false" outlineLevel="0" collapsed="false">
      <c r="A150" s="0" t="s">
        <v>8</v>
      </c>
      <c r="B150" s="0" t="s">
        <v>9</v>
      </c>
      <c r="C150" s="0" t="str">
        <f aca="false">"131-142"</f>
        <v>131-142</v>
      </c>
      <c r="D150" s="0" t="s">
        <v>9</v>
      </c>
      <c r="E150" s="0" t="str">
        <f aca="false">"230-241"</f>
        <v>230-241</v>
      </c>
      <c r="F150" s="0" t="s">
        <v>167</v>
      </c>
      <c r="G150" s="0" t="s">
        <v>9</v>
      </c>
      <c r="H150" s="0" t="str">
        <f aca="false">"58-69"</f>
        <v>58-69</v>
      </c>
      <c r="I150" s="0" t="s">
        <v>9</v>
      </c>
      <c r="J150" s="0" t="str">
        <f aca="false">"74-85"</f>
        <v>74-85</v>
      </c>
      <c r="K150" s="0" t="str">
        <f aca="false">"0.70"</f>
        <v>0.70</v>
      </c>
      <c r="L150" s="0" t="str">
        <f aca="false">"9.24"</f>
        <v>9.24</v>
      </c>
      <c r="M150" s="0" t="str">
        <f aca="false">"-159.0"</f>
        <v>-159.0</v>
      </c>
    </row>
    <row r="151" customFormat="false" ht="12.8" hidden="false" customHeight="false" outlineLevel="0" collapsed="false">
      <c r="A151" s="0" t="s">
        <v>8</v>
      </c>
      <c r="B151" s="0" t="s">
        <v>9</v>
      </c>
      <c r="C151" s="0" t="str">
        <f aca="false">"134-145"</f>
        <v>134-145</v>
      </c>
      <c r="D151" s="0" t="s">
        <v>9</v>
      </c>
      <c r="E151" s="0" t="str">
        <f aca="false">"229-240"</f>
        <v>229-240</v>
      </c>
      <c r="F151" s="0" t="s">
        <v>168</v>
      </c>
      <c r="G151" s="0" t="s">
        <v>9</v>
      </c>
      <c r="H151" s="0" t="str">
        <f aca="false">"147-158"</f>
        <v>147-158</v>
      </c>
      <c r="I151" s="0" t="s">
        <v>9</v>
      </c>
      <c r="J151" s="0" t="str">
        <f aca="false">"184-195"</f>
        <v>184-195</v>
      </c>
      <c r="K151" s="0" t="str">
        <f aca="false">"0.46"</f>
        <v>0.46</v>
      </c>
      <c r="L151" s="0" t="str">
        <f aca="false">"9.05"</f>
        <v>9.05</v>
      </c>
      <c r="M151" s="0" t="str">
        <f aca="false">"-156.7"</f>
        <v>-156.7</v>
      </c>
    </row>
    <row r="152" customFormat="false" ht="12.8" hidden="false" customHeight="false" outlineLevel="0" collapsed="false">
      <c r="A152" s="0" t="s">
        <v>8</v>
      </c>
      <c r="B152" s="0" t="s">
        <v>9</v>
      </c>
      <c r="C152" s="0" t="str">
        <f aca="false">"129-140"</f>
        <v>129-140</v>
      </c>
      <c r="D152" s="0" t="s">
        <v>9</v>
      </c>
      <c r="E152" s="0" t="str">
        <f aca="false">"233-244"</f>
        <v>233-244</v>
      </c>
      <c r="F152" s="0" t="s">
        <v>169</v>
      </c>
      <c r="G152" s="0" t="s">
        <v>13</v>
      </c>
      <c r="H152" s="0" t="str">
        <f aca="false">"100-111"</f>
        <v>100-111</v>
      </c>
      <c r="I152" s="0" t="s">
        <v>13</v>
      </c>
      <c r="J152" s="0" t="str">
        <f aca="false">"117-128"</f>
        <v>117-128</v>
      </c>
      <c r="K152" s="0" t="str">
        <f aca="false">"0.91"</f>
        <v>0.91</v>
      </c>
      <c r="L152" s="0" t="str">
        <f aca="false">"10.76"</f>
        <v>10.76</v>
      </c>
      <c r="M152" s="0" t="str">
        <f aca="false">"-157.8"</f>
        <v>-157.8</v>
      </c>
    </row>
    <row r="153" customFormat="false" ht="12.8" hidden="false" customHeight="false" outlineLevel="0" collapsed="false">
      <c r="A153" s="0" t="s">
        <v>8</v>
      </c>
      <c r="B153" s="0" t="s">
        <v>9</v>
      </c>
      <c r="C153" s="0" t="str">
        <f aca="false">"128-139"</f>
        <v>128-139</v>
      </c>
      <c r="D153" s="0" t="s">
        <v>9</v>
      </c>
      <c r="E153" s="0" t="str">
        <f aca="false">"234-245"</f>
        <v>234-245</v>
      </c>
      <c r="F153" s="0" t="s">
        <v>170</v>
      </c>
      <c r="G153" s="0" t="s">
        <v>9</v>
      </c>
      <c r="H153" s="0" t="str">
        <f aca="false">"23-34"</f>
        <v>23-34</v>
      </c>
      <c r="I153" s="0" t="s">
        <v>9</v>
      </c>
      <c r="J153" s="0" t="str">
        <f aca="false">"39-50"</f>
        <v>39-50</v>
      </c>
      <c r="K153" s="0" t="str">
        <f aca="false">"0.83"</f>
        <v>0.83</v>
      </c>
      <c r="L153" s="0" t="str">
        <f aca="false">"9.41"</f>
        <v>9.41</v>
      </c>
      <c r="M153" s="0" t="str">
        <f aca="false">"-150.3"</f>
        <v>-150.3</v>
      </c>
    </row>
    <row r="154" customFormat="false" ht="12.8" hidden="false" customHeight="false" outlineLevel="0" collapsed="false">
      <c r="A154" s="0" t="s">
        <v>8</v>
      </c>
      <c r="B154" s="0" t="s">
        <v>9</v>
      </c>
      <c r="C154" s="0" t="str">
        <f aca="false">"134-145"</f>
        <v>134-145</v>
      </c>
      <c r="D154" s="0" t="s">
        <v>9</v>
      </c>
      <c r="E154" s="0" t="str">
        <f aca="false">"229-240"</f>
        <v>229-240</v>
      </c>
      <c r="F154" s="0" t="s">
        <v>171</v>
      </c>
      <c r="G154" s="0" t="s">
        <v>13</v>
      </c>
      <c r="H154" s="0" t="str">
        <f aca="false">"39-50"</f>
        <v>39-50</v>
      </c>
      <c r="I154" s="0" t="s">
        <v>9</v>
      </c>
      <c r="J154" s="0" t="str">
        <f aca="false">"39-50"</f>
        <v>39-50</v>
      </c>
      <c r="K154" s="0" t="str">
        <f aca="false">"0.68"</f>
        <v>0.68</v>
      </c>
      <c r="L154" s="0" t="str">
        <f aca="false">"9.88"</f>
        <v>9.88</v>
      </c>
      <c r="M154" s="0" t="str">
        <f aca="false">"-160.3"</f>
        <v>-160.3</v>
      </c>
    </row>
    <row r="155" customFormat="false" ht="12.8" hidden="false" customHeight="false" outlineLevel="0" collapsed="false">
      <c r="A155" s="0" t="s">
        <v>8</v>
      </c>
      <c r="B155" s="0" t="s">
        <v>9</v>
      </c>
      <c r="C155" s="0" t="str">
        <f aca="false">"134-145"</f>
        <v>134-145</v>
      </c>
      <c r="D155" s="0" t="s">
        <v>9</v>
      </c>
      <c r="E155" s="0" t="str">
        <f aca="false">"229-240"</f>
        <v>229-240</v>
      </c>
      <c r="F155" s="0" t="s">
        <v>172</v>
      </c>
      <c r="G155" s="0" t="s">
        <v>13</v>
      </c>
      <c r="H155" s="0" t="str">
        <f aca="false">"15-26"</f>
        <v>15-26</v>
      </c>
      <c r="I155" s="0" t="s">
        <v>13</v>
      </c>
      <c r="J155" s="0" t="str">
        <f aca="false">"48-59"</f>
        <v>48-59</v>
      </c>
      <c r="K155" s="0" t="str">
        <f aca="false">"0.78"</f>
        <v>0.78</v>
      </c>
      <c r="L155" s="0" t="str">
        <f aca="false">"8.97"</f>
        <v>8.97</v>
      </c>
      <c r="M155" s="0" t="str">
        <f aca="false">"-148.7"</f>
        <v>-148.7</v>
      </c>
    </row>
    <row r="156" customFormat="false" ht="12.8" hidden="false" customHeight="false" outlineLevel="0" collapsed="false">
      <c r="A156" s="0" t="s">
        <v>8</v>
      </c>
      <c r="B156" s="0" t="s">
        <v>9</v>
      </c>
      <c r="C156" s="0" t="str">
        <f aca="false">"134-145"</f>
        <v>134-145</v>
      </c>
      <c r="D156" s="0" t="s">
        <v>9</v>
      </c>
      <c r="E156" s="0" t="str">
        <f aca="false">"229-240"</f>
        <v>229-240</v>
      </c>
      <c r="F156" s="0" t="s">
        <v>173</v>
      </c>
      <c r="G156" s="0" t="s">
        <v>9</v>
      </c>
      <c r="H156" s="0" t="str">
        <f aca="false">"201-212"</f>
        <v>201-212</v>
      </c>
      <c r="I156" s="0" t="s">
        <v>9</v>
      </c>
      <c r="J156" s="0" t="str">
        <f aca="false">"226-237"</f>
        <v>226-237</v>
      </c>
      <c r="K156" s="0" t="str">
        <f aca="false">"0.77"</f>
        <v>0.77</v>
      </c>
      <c r="L156" s="0" t="str">
        <f aca="false">"9.08"</f>
        <v>9.08</v>
      </c>
      <c r="M156" s="0" t="str">
        <f aca="false">"-158.1"</f>
        <v>-158.1</v>
      </c>
    </row>
    <row r="157" customFormat="false" ht="12.8" hidden="false" customHeight="false" outlineLevel="0" collapsed="false">
      <c r="A157" s="0" t="s">
        <v>8</v>
      </c>
      <c r="B157" s="0" t="s">
        <v>9</v>
      </c>
      <c r="C157" s="0" t="str">
        <f aca="false">"134-145"</f>
        <v>134-145</v>
      </c>
      <c r="D157" s="0" t="s">
        <v>9</v>
      </c>
      <c r="E157" s="0" t="str">
        <f aca="false">"226-237"</f>
        <v>226-237</v>
      </c>
      <c r="F157" s="0" t="s">
        <v>174</v>
      </c>
      <c r="G157" s="0" t="s">
        <v>9</v>
      </c>
      <c r="H157" s="0" t="str">
        <f aca="false">"1166-1177"</f>
        <v>1166-1177</v>
      </c>
      <c r="I157" s="0" t="s">
        <v>9</v>
      </c>
      <c r="J157" s="0" t="str">
        <f aca="false">"1140-1151"</f>
        <v>1140-1151</v>
      </c>
      <c r="K157" s="0" t="str">
        <f aca="false">"0.52"</f>
        <v>0.52</v>
      </c>
      <c r="L157" s="0" t="str">
        <f aca="false">"10.22"</f>
        <v>10.22</v>
      </c>
      <c r="M157" s="0" t="str">
        <f aca="false">"-145.8"</f>
        <v>-145.8</v>
      </c>
    </row>
    <row r="158" customFormat="false" ht="12.8" hidden="false" customHeight="false" outlineLevel="0" collapsed="false">
      <c r="A158" s="0" t="s">
        <v>8</v>
      </c>
      <c r="B158" s="0" t="s">
        <v>9</v>
      </c>
      <c r="C158" s="0" t="str">
        <f aca="false">"127-138"</f>
        <v>127-138</v>
      </c>
      <c r="D158" s="0" t="s">
        <v>9</v>
      </c>
      <c r="E158" s="0" t="str">
        <f aca="false">"233-244"</f>
        <v>233-244</v>
      </c>
      <c r="F158" s="0" t="s">
        <v>175</v>
      </c>
      <c r="G158" s="0" t="s">
        <v>9</v>
      </c>
      <c r="H158" s="0" t="str">
        <f aca="false">"174-185"</f>
        <v>174-185</v>
      </c>
      <c r="I158" s="0" t="s">
        <v>9</v>
      </c>
      <c r="J158" s="0" t="str">
        <f aca="false">"139-150"</f>
        <v>139-150</v>
      </c>
      <c r="K158" s="0" t="str">
        <f aca="false">"0.77"</f>
        <v>0.77</v>
      </c>
      <c r="L158" s="0" t="str">
        <f aca="false">"10.91"</f>
        <v>10.91</v>
      </c>
      <c r="M158" s="0" t="str">
        <f aca="false">"-154.8"</f>
        <v>-154.8</v>
      </c>
    </row>
    <row r="159" customFormat="false" ht="12.8" hidden="false" customHeight="false" outlineLevel="0" collapsed="false">
      <c r="A159" s="0" t="s">
        <v>8</v>
      </c>
      <c r="B159" s="0" t="s">
        <v>9</v>
      </c>
      <c r="C159" s="0" t="str">
        <f aca="false">"134-145"</f>
        <v>134-145</v>
      </c>
      <c r="D159" s="0" t="s">
        <v>9</v>
      </c>
      <c r="E159" s="0" t="str">
        <f aca="false">"229-240"</f>
        <v>229-240</v>
      </c>
      <c r="F159" s="0" t="s">
        <v>176</v>
      </c>
      <c r="G159" s="0" t="s">
        <v>13</v>
      </c>
      <c r="H159" s="0" t="str">
        <f aca="false">"22-33"</f>
        <v>22-33</v>
      </c>
      <c r="I159" s="0" t="s">
        <v>13</v>
      </c>
      <c r="J159" s="0" t="str">
        <f aca="false">"90-101"</f>
        <v>90-101</v>
      </c>
      <c r="K159" s="0" t="str">
        <f aca="false">"0.80"</f>
        <v>0.80</v>
      </c>
      <c r="L159" s="0" t="str">
        <f aca="false">"9.29"</f>
        <v>9.29</v>
      </c>
      <c r="M159" s="0" t="str">
        <f aca="false">"-163.1"</f>
        <v>-163.1</v>
      </c>
    </row>
    <row r="160" customFormat="false" ht="12.8" hidden="false" customHeight="false" outlineLevel="0" collapsed="false">
      <c r="A160" s="0" t="s">
        <v>8</v>
      </c>
      <c r="B160" s="0" t="s">
        <v>9</v>
      </c>
      <c r="C160" s="0" t="str">
        <f aca="false">"134-145"</f>
        <v>134-145</v>
      </c>
      <c r="D160" s="0" t="s">
        <v>9</v>
      </c>
      <c r="E160" s="0" t="str">
        <f aca="false">"229-240"</f>
        <v>229-240</v>
      </c>
      <c r="F160" s="0" t="s">
        <v>177</v>
      </c>
      <c r="G160" s="0" t="s">
        <v>9</v>
      </c>
      <c r="H160" s="0" t="str">
        <f aca="false">"37-48"</f>
        <v>37-48</v>
      </c>
      <c r="I160" s="0" t="s">
        <v>9</v>
      </c>
      <c r="J160" s="0" t="str">
        <f aca="false">"74-85"</f>
        <v>74-85</v>
      </c>
      <c r="K160" s="0" t="str">
        <f aca="false">"0.81"</f>
        <v>0.81</v>
      </c>
      <c r="L160" s="0" t="str">
        <f aca="false">"9.47"</f>
        <v>9.47</v>
      </c>
      <c r="M160" s="0" t="str">
        <f aca="false">"-148.5"</f>
        <v>-148.5</v>
      </c>
    </row>
    <row r="161" customFormat="false" ht="12.8" hidden="false" customHeight="false" outlineLevel="0" collapsed="false">
      <c r="A161" s="0" t="s">
        <v>8</v>
      </c>
      <c r="B161" s="0" t="s">
        <v>9</v>
      </c>
      <c r="C161" s="0" t="str">
        <f aca="false">"127-138"</f>
        <v>127-138</v>
      </c>
      <c r="D161" s="0" t="s">
        <v>9</v>
      </c>
      <c r="E161" s="0" t="str">
        <f aca="false">"233-244"</f>
        <v>233-244</v>
      </c>
      <c r="F161" s="0" t="s">
        <v>178</v>
      </c>
      <c r="G161" s="0" t="s">
        <v>13</v>
      </c>
      <c r="H161" s="0" t="str">
        <f aca="false">"55-66"</f>
        <v>55-66</v>
      </c>
      <c r="I161" s="0" t="s">
        <v>13</v>
      </c>
      <c r="J161" s="0" t="str">
        <f aca="false">"136-147"</f>
        <v>136-147</v>
      </c>
      <c r="K161" s="0" t="str">
        <f aca="false">"1.10"</f>
        <v>1.10</v>
      </c>
      <c r="L161" s="0" t="str">
        <f aca="false">"9.89"</f>
        <v>9.89</v>
      </c>
      <c r="M161" s="0" t="str">
        <f aca="false">"-167.9"</f>
        <v>-167.9</v>
      </c>
    </row>
    <row r="162" customFormat="false" ht="12.8" hidden="false" customHeight="false" outlineLevel="0" collapsed="false">
      <c r="A162" s="0" t="s">
        <v>8</v>
      </c>
      <c r="B162" s="0" t="s">
        <v>9</v>
      </c>
      <c r="C162" s="0" t="str">
        <f aca="false">"131-142"</f>
        <v>131-142</v>
      </c>
      <c r="D162" s="0" t="s">
        <v>9</v>
      </c>
      <c r="E162" s="0" t="str">
        <f aca="false">"232-243"</f>
        <v>232-243</v>
      </c>
      <c r="F162" s="0" t="s">
        <v>179</v>
      </c>
      <c r="G162" s="0" t="s">
        <v>9</v>
      </c>
      <c r="H162" s="0" t="str">
        <f aca="false">"206-217"</f>
        <v>206-217</v>
      </c>
      <c r="I162" s="0" t="s">
        <v>9</v>
      </c>
      <c r="J162" s="0" t="str">
        <f aca="false">"152-163"</f>
        <v>152-163</v>
      </c>
      <c r="K162" s="0" t="str">
        <f aca="false">"1.05"</f>
        <v>1.05</v>
      </c>
      <c r="L162" s="0" t="str">
        <f aca="false">"9.38"</f>
        <v>9.38</v>
      </c>
      <c r="M162" s="0" t="str">
        <f aca="false">"-158.1"</f>
        <v>-158.1</v>
      </c>
    </row>
    <row r="163" customFormat="false" ht="12.8" hidden="false" customHeight="false" outlineLevel="0" collapsed="false">
      <c r="A163" s="0" t="s">
        <v>8</v>
      </c>
      <c r="B163" s="0" t="s">
        <v>9</v>
      </c>
      <c r="C163" s="0" t="str">
        <f aca="false">"134-145"</f>
        <v>134-145</v>
      </c>
      <c r="D163" s="0" t="s">
        <v>9</v>
      </c>
      <c r="E163" s="0" t="str">
        <f aca="false">"229-240"</f>
        <v>229-240</v>
      </c>
      <c r="F163" s="0" t="s">
        <v>180</v>
      </c>
      <c r="G163" s="0" t="s">
        <v>9</v>
      </c>
      <c r="H163" s="0" t="str">
        <f aca="false">"415-426"</f>
        <v>415-426</v>
      </c>
      <c r="I163" s="0" t="s">
        <v>9</v>
      </c>
      <c r="J163" s="0" t="str">
        <f aca="false">"8-19"</f>
        <v>8-19</v>
      </c>
      <c r="K163" s="0" t="str">
        <f aca="false">"0.65"</f>
        <v>0.65</v>
      </c>
      <c r="L163" s="0" t="str">
        <f aca="false">"9.54"</f>
        <v>9.54</v>
      </c>
      <c r="M163" s="0" t="str">
        <f aca="false">"-150.0"</f>
        <v>-150.0</v>
      </c>
    </row>
    <row r="164" customFormat="false" ht="12.8" hidden="false" customHeight="false" outlineLevel="0" collapsed="false">
      <c r="A164" s="0" t="s">
        <v>8</v>
      </c>
      <c r="B164" s="0" t="s">
        <v>9</v>
      </c>
      <c r="C164" s="0" t="str">
        <f aca="false">"131-142"</f>
        <v>131-142</v>
      </c>
      <c r="D164" s="0" t="s">
        <v>9</v>
      </c>
      <c r="E164" s="0" t="str">
        <f aca="false">"230-241"</f>
        <v>230-241</v>
      </c>
      <c r="F164" s="0" t="s">
        <v>181</v>
      </c>
      <c r="G164" s="0" t="s">
        <v>9</v>
      </c>
      <c r="H164" s="0" t="str">
        <f aca="false">"558-569"</f>
        <v>558-569</v>
      </c>
      <c r="I164" s="0" t="s">
        <v>9</v>
      </c>
      <c r="J164" s="0" t="str">
        <f aca="false">"140-151"</f>
        <v>140-151</v>
      </c>
      <c r="K164" s="0" t="str">
        <f aca="false">"0.71"</f>
        <v>0.71</v>
      </c>
      <c r="L164" s="0" t="str">
        <f aca="false">"10.03"</f>
        <v>10.03</v>
      </c>
      <c r="M164" s="0" t="str">
        <f aca="false">"-155.2"</f>
        <v>-155.2</v>
      </c>
    </row>
    <row r="165" customFormat="false" ht="12.8" hidden="false" customHeight="false" outlineLevel="0" collapsed="false">
      <c r="A165" s="0" t="s">
        <v>8</v>
      </c>
      <c r="B165" s="0" t="s">
        <v>9</v>
      </c>
      <c r="C165" s="0" t="str">
        <f aca="false">"136-147"</f>
        <v>136-147</v>
      </c>
      <c r="D165" s="0" t="s">
        <v>9</v>
      </c>
      <c r="E165" s="0" t="str">
        <f aca="false">"226-237"</f>
        <v>226-237</v>
      </c>
      <c r="F165" s="0" t="s">
        <v>182</v>
      </c>
      <c r="G165" s="0" t="s">
        <v>9</v>
      </c>
      <c r="H165" s="0" t="str">
        <f aca="false">"572-583"</f>
        <v>572-583</v>
      </c>
      <c r="I165" s="0" t="s">
        <v>9</v>
      </c>
      <c r="J165" s="0" t="str">
        <f aca="false">"553-564"</f>
        <v>553-564</v>
      </c>
      <c r="K165" s="0" t="str">
        <f aca="false">"0.79"</f>
        <v>0.79</v>
      </c>
      <c r="L165" s="0" t="str">
        <f aca="false">"9.94"</f>
        <v>9.94</v>
      </c>
      <c r="M165" s="0" t="str">
        <f aca="false">"-149.9"</f>
        <v>-149.9</v>
      </c>
    </row>
    <row r="166" customFormat="false" ht="12.8" hidden="false" customHeight="false" outlineLevel="0" collapsed="false">
      <c r="A166" s="0" t="s">
        <v>8</v>
      </c>
      <c r="B166" s="0" t="s">
        <v>9</v>
      </c>
      <c r="C166" s="0" t="str">
        <f aca="false">"134-145"</f>
        <v>134-145</v>
      </c>
      <c r="D166" s="0" t="s">
        <v>9</v>
      </c>
      <c r="E166" s="0" t="str">
        <f aca="false">"229-240"</f>
        <v>229-240</v>
      </c>
      <c r="F166" s="0" t="s">
        <v>183</v>
      </c>
      <c r="G166" s="0" t="s">
        <v>9</v>
      </c>
      <c r="H166" s="0" t="str">
        <f aca="false">"28-39"</f>
        <v>28-39</v>
      </c>
      <c r="I166" s="0" t="s">
        <v>13</v>
      </c>
      <c r="J166" s="0" t="str">
        <f aca="false">"28-39"</f>
        <v>28-39</v>
      </c>
      <c r="K166" s="0" t="str">
        <f aca="false">"1.07"</f>
        <v>1.07</v>
      </c>
      <c r="L166" s="0" t="str">
        <f aca="false">"10.55"</f>
        <v>10.55</v>
      </c>
      <c r="M166" s="0" t="str">
        <f aca="false">"-167.2"</f>
        <v>-167.2</v>
      </c>
    </row>
    <row r="167" customFormat="false" ht="12.8" hidden="false" customHeight="false" outlineLevel="0" collapsed="false">
      <c r="A167" s="0" t="s">
        <v>8</v>
      </c>
      <c r="B167" s="0" t="s">
        <v>9</v>
      </c>
      <c r="C167" s="0" t="str">
        <f aca="false">"134-145"</f>
        <v>134-145</v>
      </c>
      <c r="D167" s="0" t="s">
        <v>9</v>
      </c>
      <c r="E167" s="0" t="str">
        <f aca="false">"229-240"</f>
        <v>229-240</v>
      </c>
      <c r="F167" s="0" t="s">
        <v>184</v>
      </c>
      <c r="G167" s="0" t="s">
        <v>9</v>
      </c>
      <c r="H167" s="0" t="str">
        <f aca="false">"159-170"</f>
        <v>159-170</v>
      </c>
      <c r="I167" s="0" t="s">
        <v>9</v>
      </c>
      <c r="J167" s="0" t="str">
        <f aca="false">"178-189"</f>
        <v>178-189</v>
      </c>
      <c r="K167" s="0" t="str">
        <f aca="false">"1.22"</f>
        <v>1.22</v>
      </c>
      <c r="L167" s="0" t="str">
        <f aca="false">"11.02"</f>
        <v>11.02</v>
      </c>
      <c r="M167" s="0" t="str">
        <f aca="false">"-163.8"</f>
        <v>-163.8</v>
      </c>
    </row>
    <row r="168" customFormat="false" ht="12.8" hidden="false" customHeight="false" outlineLevel="0" collapsed="false">
      <c r="A168" s="0" t="s">
        <v>8</v>
      </c>
      <c r="B168" s="0" t="s">
        <v>9</v>
      </c>
      <c r="C168" s="0" t="str">
        <f aca="false">"137-148"</f>
        <v>137-148</v>
      </c>
      <c r="D168" s="0" t="s">
        <v>9</v>
      </c>
      <c r="E168" s="0" t="str">
        <f aca="false">"226-237"</f>
        <v>226-237</v>
      </c>
      <c r="F168" s="0" t="s">
        <v>185</v>
      </c>
      <c r="G168" s="0" t="s">
        <v>24</v>
      </c>
      <c r="H168" s="0" t="str">
        <f aca="false">"363-374"</f>
        <v>363-374</v>
      </c>
      <c r="I168" s="0" t="s">
        <v>24</v>
      </c>
      <c r="J168" s="0" t="str">
        <f aca="false">"463-474"</f>
        <v>463-474</v>
      </c>
      <c r="K168" s="0" t="str">
        <f aca="false">"0.94"</f>
        <v>0.94</v>
      </c>
      <c r="L168" s="0" t="str">
        <f aca="false">"9.48"</f>
        <v>9.48</v>
      </c>
      <c r="M168" s="0" t="str">
        <f aca="false">"-145.8"</f>
        <v>-145.8</v>
      </c>
    </row>
    <row r="169" customFormat="false" ht="12.8" hidden="false" customHeight="false" outlineLevel="0" collapsed="false">
      <c r="A169" s="0" t="s">
        <v>8</v>
      </c>
      <c r="B169" s="0" t="s">
        <v>9</v>
      </c>
      <c r="C169" s="0" t="str">
        <f aca="false">"134-145"</f>
        <v>134-145</v>
      </c>
      <c r="D169" s="0" t="s">
        <v>9</v>
      </c>
      <c r="E169" s="0" t="str">
        <f aca="false">"229-240"</f>
        <v>229-240</v>
      </c>
      <c r="F169" s="0" t="s">
        <v>186</v>
      </c>
      <c r="G169" s="0" t="s">
        <v>13</v>
      </c>
      <c r="H169" s="0" t="str">
        <f aca="false">"273-284"</f>
        <v>273-284</v>
      </c>
      <c r="I169" s="0" t="s">
        <v>13</v>
      </c>
      <c r="J169" s="0" t="str">
        <f aca="false">"319-330"</f>
        <v>319-330</v>
      </c>
      <c r="K169" s="0" t="str">
        <f aca="false">"0.84"</f>
        <v>0.84</v>
      </c>
      <c r="L169" s="0" t="str">
        <f aca="false">"10.54"</f>
        <v>10.54</v>
      </c>
      <c r="M169" s="0" t="str">
        <f aca="false">"-151.9"</f>
        <v>-151.9</v>
      </c>
    </row>
    <row r="170" customFormat="false" ht="12.8" hidden="false" customHeight="false" outlineLevel="0" collapsed="false">
      <c r="A170" s="0" t="s">
        <v>8</v>
      </c>
      <c r="B170" s="0" t="s">
        <v>9</v>
      </c>
      <c r="C170" s="0" t="str">
        <f aca="false">"130-141"</f>
        <v>130-141</v>
      </c>
      <c r="D170" s="0" t="s">
        <v>9</v>
      </c>
      <c r="E170" s="0" t="str">
        <f aca="false">"229-240"</f>
        <v>229-240</v>
      </c>
      <c r="F170" s="0" t="s">
        <v>187</v>
      </c>
      <c r="G170" s="0" t="s">
        <v>13</v>
      </c>
      <c r="H170" s="0" t="str">
        <f aca="false">"862-873"</f>
        <v>862-873</v>
      </c>
      <c r="I170" s="0" t="s">
        <v>13</v>
      </c>
      <c r="J170" s="0" t="str">
        <f aca="false">"887-898"</f>
        <v>887-898</v>
      </c>
      <c r="K170" s="0" t="str">
        <f aca="false">"0.94"</f>
        <v>0.94</v>
      </c>
      <c r="L170" s="0" t="str">
        <f aca="false">"11.42"</f>
        <v>11.42</v>
      </c>
      <c r="M170" s="0" t="str">
        <f aca="false">"-156.8"</f>
        <v>-156.8</v>
      </c>
    </row>
    <row r="171" customFormat="false" ht="12.8" hidden="false" customHeight="false" outlineLevel="0" collapsed="false">
      <c r="A171" s="0" t="s">
        <v>8</v>
      </c>
      <c r="B171" s="0" t="s">
        <v>9</v>
      </c>
      <c r="C171" s="0" t="str">
        <f aca="false">"127-138"</f>
        <v>127-138</v>
      </c>
      <c r="D171" s="0" t="s">
        <v>9</v>
      </c>
      <c r="E171" s="0" t="str">
        <f aca="false">"233-244"</f>
        <v>233-244</v>
      </c>
      <c r="F171" s="0" t="s">
        <v>188</v>
      </c>
      <c r="G171" s="0" t="s">
        <v>13</v>
      </c>
      <c r="H171" s="0" t="str">
        <f aca="false">"52-63"</f>
        <v>52-63</v>
      </c>
      <c r="I171" s="0" t="s">
        <v>13</v>
      </c>
      <c r="J171" s="0" t="str">
        <f aca="false">"24-35"</f>
        <v>24-35</v>
      </c>
      <c r="K171" s="0" t="str">
        <f aca="false">"0.68"</f>
        <v>0.68</v>
      </c>
      <c r="L171" s="0" t="str">
        <f aca="false">"10.54"</f>
        <v>10.54</v>
      </c>
      <c r="M171" s="0" t="str">
        <f aca="false">"-154.9"</f>
        <v>-154.9</v>
      </c>
    </row>
    <row r="172" customFormat="false" ht="12.8" hidden="false" customHeight="false" outlineLevel="0" collapsed="false">
      <c r="A172" s="0" t="s">
        <v>8</v>
      </c>
      <c r="B172" s="0" t="s">
        <v>9</v>
      </c>
      <c r="C172" s="0" t="str">
        <f aca="false">"134-145"</f>
        <v>134-145</v>
      </c>
      <c r="D172" s="0" t="s">
        <v>9</v>
      </c>
      <c r="E172" s="0" t="str">
        <f aca="false">"226-237"</f>
        <v>226-237</v>
      </c>
      <c r="F172" s="0" t="s">
        <v>189</v>
      </c>
      <c r="G172" s="0" t="s">
        <v>9</v>
      </c>
      <c r="H172" s="0" t="str">
        <f aca="false">"302-313"</f>
        <v>302-313</v>
      </c>
      <c r="I172" s="0" t="s">
        <v>9</v>
      </c>
      <c r="J172" s="0" t="str">
        <f aca="false">"325-336"</f>
        <v>325-336</v>
      </c>
      <c r="K172" s="0" t="str">
        <f aca="false">"0.56"</f>
        <v>0.56</v>
      </c>
      <c r="L172" s="0" t="str">
        <f aca="false">"10.10"</f>
        <v>10.10</v>
      </c>
      <c r="M172" s="0" t="str">
        <f aca="false">"-152.4"</f>
        <v>-152.4</v>
      </c>
    </row>
    <row r="173" customFormat="false" ht="12.8" hidden="false" customHeight="false" outlineLevel="0" collapsed="false">
      <c r="A173" s="0" t="s">
        <v>8</v>
      </c>
      <c r="B173" s="0" t="s">
        <v>9</v>
      </c>
      <c r="C173" s="0" t="str">
        <f aca="false">"137-148"</f>
        <v>137-148</v>
      </c>
      <c r="D173" s="0" t="s">
        <v>9</v>
      </c>
      <c r="E173" s="0" t="str">
        <f aca="false">"226-237"</f>
        <v>226-237</v>
      </c>
      <c r="F173" s="0" t="s">
        <v>190</v>
      </c>
      <c r="G173" s="0" t="s">
        <v>13</v>
      </c>
      <c r="H173" s="0" t="str">
        <f aca="false">"127-138"</f>
        <v>127-138</v>
      </c>
      <c r="I173" s="0" t="s">
        <v>13</v>
      </c>
      <c r="J173" s="0" t="str">
        <f aca="false">"101-112"</f>
        <v>101-112</v>
      </c>
      <c r="K173" s="0" t="str">
        <f aca="false">"0.52"</f>
        <v>0.52</v>
      </c>
      <c r="L173" s="0" t="str">
        <f aca="false">"9.15"</f>
        <v>9.15</v>
      </c>
      <c r="M173" s="0" t="str">
        <f aca="false">"-159.7"</f>
        <v>-159.7</v>
      </c>
    </row>
    <row r="174" customFormat="false" ht="12.8" hidden="false" customHeight="false" outlineLevel="0" collapsed="false">
      <c r="A174" s="0" t="s">
        <v>8</v>
      </c>
      <c r="B174" s="0" t="s">
        <v>9</v>
      </c>
      <c r="C174" s="0" t="str">
        <f aca="false">"130-141"</f>
        <v>130-141</v>
      </c>
      <c r="D174" s="0" t="s">
        <v>9</v>
      </c>
      <c r="E174" s="0" t="str">
        <f aca="false">"233-244"</f>
        <v>233-244</v>
      </c>
      <c r="F174" s="0" t="s">
        <v>191</v>
      </c>
      <c r="G174" s="0" t="s">
        <v>13</v>
      </c>
      <c r="H174" s="0" t="str">
        <f aca="false">"54-65"</f>
        <v>54-65</v>
      </c>
      <c r="I174" s="0" t="s">
        <v>13</v>
      </c>
      <c r="J174" s="0" t="str">
        <f aca="false">"106-117"</f>
        <v>106-117</v>
      </c>
      <c r="K174" s="0" t="str">
        <f aca="false">"1.12"</f>
        <v>1.12</v>
      </c>
      <c r="L174" s="0" t="str">
        <f aca="false">"11.34"</f>
        <v>11.34</v>
      </c>
      <c r="M174" s="0" t="str">
        <f aca="false">"-160.3"</f>
        <v>-160.3</v>
      </c>
    </row>
    <row r="175" customFormat="false" ht="12.8" hidden="false" customHeight="false" outlineLevel="0" collapsed="false">
      <c r="A175" s="0" t="s">
        <v>8</v>
      </c>
      <c r="B175" s="0" t="s">
        <v>9</v>
      </c>
      <c r="C175" s="0" t="str">
        <f aca="false">"134-145"</f>
        <v>134-145</v>
      </c>
      <c r="D175" s="0" t="s">
        <v>9</v>
      </c>
      <c r="E175" s="0" t="str">
        <f aca="false">"229-240"</f>
        <v>229-240</v>
      </c>
      <c r="F175" s="0" t="s">
        <v>192</v>
      </c>
      <c r="G175" s="0" t="s">
        <v>9</v>
      </c>
      <c r="H175" s="0" t="str">
        <f aca="false">"76-87"</f>
        <v>76-87</v>
      </c>
      <c r="I175" s="0" t="s">
        <v>9</v>
      </c>
      <c r="J175" s="0" t="str">
        <f aca="false">"111-122"</f>
        <v>111-122</v>
      </c>
      <c r="K175" s="0" t="str">
        <f aca="false">"0.35"</f>
        <v>0.35</v>
      </c>
      <c r="L175" s="0" t="str">
        <f aca="false">"9.45"</f>
        <v>9.45</v>
      </c>
      <c r="M175" s="0" t="str">
        <f aca="false">"-155.9"</f>
        <v>-155.9</v>
      </c>
    </row>
    <row r="176" customFormat="false" ht="12.8" hidden="false" customHeight="false" outlineLevel="0" collapsed="false">
      <c r="A176" s="0" t="s">
        <v>8</v>
      </c>
      <c r="B176" s="0" t="s">
        <v>9</v>
      </c>
      <c r="C176" s="0" t="str">
        <f aca="false">"134-145"</f>
        <v>134-145</v>
      </c>
      <c r="D176" s="0" t="s">
        <v>9</v>
      </c>
      <c r="E176" s="0" t="str">
        <f aca="false">"229-240"</f>
        <v>229-240</v>
      </c>
      <c r="F176" s="0" t="s">
        <v>193</v>
      </c>
      <c r="G176" s="0" t="s">
        <v>9</v>
      </c>
      <c r="H176" s="0" t="str">
        <f aca="false">"183-194"</f>
        <v>183-194</v>
      </c>
      <c r="I176" s="0" t="s">
        <v>9</v>
      </c>
      <c r="J176" s="0" t="str">
        <f aca="false">"115-126"</f>
        <v>115-126</v>
      </c>
      <c r="K176" s="0" t="str">
        <f aca="false">"0.79"</f>
        <v>0.79</v>
      </c>
      <c r="L176" s="0" t="str">
        <f aca="false">"8.95"</f>
        <v>8.95</v>
      </c>
      <c r="M176" s="0" t="str">
        <f aca="false">"-167.6"</f>
        <v>-167.6</v>
      </c>
    </row>
    <row r="177" customFormat="false" ht="12.8" hidden="false" customHeight="false" outlineLevel="0" collapsed="false">
      <c r="A177" s="0" t="s">
        <v>8</v>
      </c>
      <c r="B177" s="0" t="s">
        <v>9</v>
      </c>
      <c r="C177" s="0" t="str">
        <f aca="false">"134-145"</f>
        <v>134-145</v>
      </c>
      <c r="D177" s="0" t="s">
        <v>9</v>
      </c>
      <c r="E177" s="0" t="str">
        <f aca="false">"229-240"</f>
        <v>229-240</v>
      </c>
      <c r="F177" s="0" t="s">
        <v>194</v>
      </c>
      <c r="G177" s="0" t="s">
        <v>9</v>
      </c>
      <c r="H177" s="0" t="str">
        <f aca="false">"394-405"</f>
        <v>394-405</v>
      </c>
      <c r="I177" s="0" t="s">
        <v>9</v>
      </c>
      <c r="J177" s="0" t="str">
        <f aca="false">"337-348"</f>
        <v>337-348</v>
      </c>
      <c r="K177" s="0" t="str">
        <f aca="false">"0.60"</f>
        <v>0.60</v>
      </c>
      <c r="L177" s="0" t="str">
        <f aca="false">"8.95"</f>
        <v>8.95</v>
      </c>
      <c r="M177" s="0" t="str">
        <f aca="false">"-152.4"</f>
        <v>-152.4</v>
      </c>
    </row>
    <row r="178" customFormat="false" ht="12.8" hidden="false" customHeight="false" outlineLevel="0" collapsed="false">
      <c r="A178" s="0" t="s">
        <v>8</v>
      </c>
      <c r="B178" s="0" t="s">
        <v>9</v>
      </c>
      <c r="C178" s="0" t="str">
        <f aca="false">"130-141"</f>
        <v>130-141</v>
      </c>
      <c r="D178" s="0" t="s">
        <v>9</v>
      </c>
      <c r="E178" s="0" t="str">
        <f aca="false">"232-243"</f>
        <v>232-243</v>
      </c>
      <c r="F178" s="0" t="s">
        <v>195</v>
      </c>
      <c r="G178" s="0" t="s">
        <v>9</v>
      </c>
      <c r="H178" s="0" t="str">
        <f aca="false">"713-724"</f>
        <v>713-724</v>
      </c>
      <c r="I178" s="0" t="s">
        <v>9</v>
      </c>
      <c r="J178" s="0" t="str">
        <f aca="false">"739-750"</f>
        <v>739-750</v>
      </c>
      <c r="K178" s="0" t="str">
        <f aca="false">"0.97"</f>
        <v>0.97</v>
      </c>
      <c r="L178" s="0" t="str">
        <f aca="false">"10.95"</f>
        <v>10.95</v>
      </c>
      <c r="M178" s="0" t="str">
        <f aca="false">"-157.3"</f>
        <v>-157.3</v>
      </c>
    </row>
    <row r="179" customFormat="false" ht="12.8" hidden="false" customHeight="false" outlineLevel="0" collapsed="false">
      <c r="A179" s="0" t="s">
        <v>8</v>
      </c>
      <c r="B179" s="0" t="s">
        <v>9</v>
      </c>
      <c r="C179" s="0" t="str">
        <f aca="false">"131-142"</f>
        <v>131-142</v>
      </c>
      <c r="D179" s="0" t="s">
        <v>9</v>
      </c>
      <c r="E179" s="0" t="str">
        <f aca="false">"230-241"</f>
        <v>230-241</v>
      </c>
      <c r="F179" s="0" t="s">
        <v>196</v>
      </c>
      <c r="G179" s="0" t="s">
        <v>9</v>
      </c>
      <c r="H179" s="0" t="str">
        <f aca="false">"172-183"</f>
        <v>172-183</v>
      </c>
      <c r="I179" s="0" t="s">
        <v>9</v>
      </c>
      <c r="J179" s="0" t="str">
        <f aca="false">"188-199"</f>
        <v>188-199</v>
      </c>
      <c r="K179" s="0" t="str">
        <f aca="false">"0.61"</f>
        <v>0.61</v>
      </c>
      <c r="L179" s="0" t="str">
        <f aca="false">"9.60"</f>
        <v>9.60</v>
      </c>
      <c r="M179" s="0" t="str">
        <f aca="false">"-158.6"</f>
        <v>-158.6</v>
      </c>
    </row>
    <row r="180" customFormat="false" ht="12.8" hidden="false" customHeight="false" outlineLevel="0" collapsed="false">
      <c r="A180" s="0" t="s">
        <v>8</v>
      </c>
      <c r="B180" s="0" t="s">
        <v>9</v>
      </c>
      <c r="C180" s="0" t="str">
        <f aca="false">"134-145"</f>
        <v>134-145</v>
      </c>
      <c r="D180" s="0" t="s">
        <v>9</v>
      </c>
      <c r="E180" s="0" t="str">
        <f aca="false">"229-240"</f>
        <v>229-240</v>
      </c>
      <c r="F180" s="0" t="s">
        <v>197</v>
      </c>
      <c r="G180" s="0" t="s">
        <v>9</v>
      </c>
      <c r="H180" s="0" t="str">
        <f aca="false">"11-22"</f>
        <v>11-22</v>
      </c>
      <c r="I180" s="0" t="s">
        <v>9</v>
      </c>
      <c r="J180" s="0" t="str">
        <f aca="false">"103-114"</f>
        <v>103-114</v>
      </c>
      <c r="K180" s="0" t="str">
        <f aca="false">"0.86"</f>
        <v>0.86</v>
      </c>
      <c r="L180" s="0" t="str">
        <f aca="false">"10.55"</f>
        <v>10.55</v>
      </c>
      <c r="M180" s="0" t="str">
        <f aca="false">"-163.2"</f>
        <v>-163.2</v>
      </c>
    </row>
    <row r="181" customFormat="false" ht="12.8" hidden="false" customHeight="false" outlineLevel="0" collapsed="false">
      <c r="A181" s="0" t="s">
        <v>8</v>
      </c>
      <c r="B181" s="0" t="s">
        <v>9</v>
      </c>
      <c r="C181" s="0" t="str">
        <f aca="false">"134-145"</f>
        <v>134-145</v>
      </c>
      <c r="D181" s="0" t="s">
        <v>9</v>
      </c>
      <c r="E181" s="0" t="str">
        <f aca="false">"229-240"</f>
        <v>229-240</v>
      </c>
      <c r="F181" s="0" t="s">
        <v>198</v>
      </c>
      <c r="G181" s="0" t="s">
        <v>9</v>
      </c>
      <c r="H181" s="0" t="str">
        <f aca="false">"51-62"</f>
        <v>51-62</v>
      </c>
      <c r="I181" s="0" t="s">
        <v>9</v>
      </c>
      <c r="J181" s="0" t="str">
        <f aca="false">"74-85"</f>
        <v>74-85</v>
      </c>
      <c r="K181" s="0" t="str">
        <f aca="false">"1.16"</f>
        <v>1.16</v>
      </c>
      <c r="L181" s="0" t="str">
        <f aca="false">"10.71"</f>
        <v>10.71</v>
      </c>
      <c r="M181" s="0" t="str">
        <f aca="false">"-164.9"</f>
        <v>-164.9</v>
      </c>
    </row>
    <row r="182" customFormat="false" ht="12.8" hidden="false" customHeight="false" outlineLevel="0" collapsed="false">
      <c r="A182" s="0" t="s">
        <v>8</v>
      </c>
      <c r="B182" s="0" t="s">
        <v>9</v>
      </c>
      <c r="C182" s="0" t="str">
        <f aca="false">"134-145"</f>
        <v>134-145</v>
      </c>
      <c r="D182" s="0" t="s">
        <v>9</v>
      </c>
      <c r="E182" s="0" t="str">
        <f aca="false">"229-240"</f>
        <v>229-240</v>
      </c>
      <c r="F182" s="0" t="s">
        <v>199</v>
      </c>
      <c r="G182" s="0" t="s">
        <v>9</v>
      </c>
      <c r="H182" s="0" t="str">
        <f aca="false">"123-134"</f>
        <v>123-134</v>
      </c>
      <c r="I182" s="0" t="s">
        <v>9</v>
      </c>
      <c r="J182" s="0" t="str">
        <f aca="false">"9-20"</f>
        <v>9-20</v>
      </c>
      <c r="K182" s="0" t="str">
        <f aca="false">"0.62"</f>
        <v>0.62</v>
      </c>
      <c r="L182" s="0" t="str">
        <f aca="false">"9.29"</f>
        <v>9.29</v>
      </c>
      <c r="M182" s="0" t="str">
        <f aca="false">"-156.6"</f>
        <v>-156.6</v>
      </c>
    </row>
    <row r="183" customFormat="false" ht="12.8" hidden="false" customHeight="false" outlineLevel="0" collapsed="false">
      <c r="A183" s="0" t="s">
        <v>8</v>
      </c>
      <c r="B183" s="0" t="s">
        <v>9</v>
      </c>
      <c r="C183" s="0" t="str">
        <f aca="false">"130-141"</f>
        <v>130-141</v>
      </c>
      <c r="D183" s="0" t="s">
        <v>9</v>
      </c>
      <c r="E183" s="0" t="str">
        <f aca="false">"233-244"</f>
        <v>233-244</v>
      </c>
      <c r="F183" s="0" t="s">
        <v>200</v>
      </c>
      <c r="G183" s="0" t="s">
        <v>9</v>
      </c>
      <c r="H183" s="0" t="str">
        <f aca="false">"466-477"</f>
        <v>466-477</v>
      </c>
      <c r="I183" s="0" t="s">
        <v>9</v>
      </c>
      <c r="J183" s="0" t="str">
        <f aca="false">"447-458"</f>
        <v>447-458</v>
      </c>
      <c r="K183" s="0" t="str">
        <f aca="false">"1.01"</f>
        <v>1.01</v>
      </c>
      <c r="L183" s="0" t="str">
        <f aca="false">"10.60"</f>
        <v>10.60</v>
      </c>
      <c r="M183" s="0" t="str">
        <f aca="false">"-147.5"</f>
        <v>-147.5</v>
      </c>
    </row>
    <row r="184" customFormat="false" ht="12.8" hidden="false" customHeight="false" outlineLevel="0" collapsed="false">
      <c r="A184" s="0" t="s">
        <v>8</v>
      </c>
      <c r="B184" s="0" t="s">
        <v>9</v>
      </c>
      <c r="C184" s="0" t="str">
        <f aca="false">"134-145"</f>
        <v>134-145</v>
      </c>
      <c r="D184" s="0" t="s">
        <v>9</v>
      </c>
      <c r="E184" s="0" t="str">
        <f aca="false">"229-240"</f>
        <v>229-240</v>
      </c>
      <c r="F184" s="0" t="s">
        <v>201</v>
      </c>
      <c r="G184" s="0" t="s">
        <v>9</v>
      </c>
      <c r="H184" s="0" t="str">
        <f aca="false">"85-96"</f>
        <v>85-96</v>
      </c>
      <c r="I184" s="0" t="s">
        <v>9</v>
      </c>
      <c r="J184" s="0" t="str">
        <f aca="false">"111-122"</f>
        <v>111-122</v>
      </c>
      <c r="K184" s="0" t="str">
        <f aca="false">"1.16"</f>
        <v>1.16</v>
      </c>
      <c r="L184" s="0" t="str">
        <f aca="false">"8.58"</f>
        <v>8.58</v>
      </c>
      <c r="M184" s="0" t="str">
        <f aca="false">"-165.1"</f>
        <v>-165.1</v>
      </c>
    </row>
    <row r="185" customFormat="false" ht="12.8" hidden="false" customHeight="false" outlineLevel="0" collapsed="false">
      <c r="A185" s="0" t="s">
        <v>8</v>
      </c>
      <c r="B185" s="0" t="s">
        <v>9</v>
      </c>
      <c r="C185" s="0" t="str">
        <f aca="false">"134-145"</f>
        <v>134-145</v>
      </c>
      <c r="D185" s="0" t="s">
        <v>9</v>
      </c>
      <c r="E185" s="0" t="str">
        <f aca="false">"229-240"</f>
        <v>229-240</v>
      </c>
      <c r="F185" s="0" t="s">
        <v>202</v>
      </c>
      <c r="G185" s="0" t="s">
        <v>9</v>
      </c>
      <c r="H185" s="0" t="str">
        <f aca="false">"81-92"</f>
        <v>81-92</v>
      </c>
      <c r="I185" s="0" t="s">
        <v>9</v>
      </c>
      <c r="J185" s="0" t="str">
        <f aca="false">"105-116"</f>
        <v>105-116</v>
      </c>
      <c r="K185" s="0" t="str">
        <f aca="false">"0.68"</f>
        <v>0.68</v>
      </c>
      <c r="L185" s="0" t="str">
        <f aca="false">"10.34"</f>
        <v>10.34</v>
      </c>
      <c r="M185" s="0" t="str">
        <f aca="false">"-156.3"</f>
        <v>-156.3</v>
      </c>
    </row>
    <row r="186" customFormat="false" ht="12.8" hidden="false" customHeight="false" outlineLevel="0" collapsed="false">
      <c r="A186" s="0" t="s">
        <v>8</v>
      </c>
      <c r="B186" s="0" t="s">
        <v>9</v>
      </c>
      <c r="C186" s="0" t="str">
        <f aca="false">"134-145"</f>
        <v>134-145</v>
      </c>
      <c r="D186" s="0" t="s">
        <v>9</v>
      </c>
      <c r="E186" s="0" t="str">
        <f aca="false">"226-237"</f>
        <v>226-237</v>
      </c>
      <c r="F186" s="0" t="s">
        <v>203</v>
      </c>
      <c r="G186" s="0" t="s">
        <v>13</v>
      </c>
      <c r="H186" s="0" t="str">
        <f aca="false">"130-141"</f>
        <v>130-141</v>
      </c>
      <c r="I186" s="0" t="s">
        <v>13</v>
      </c>
      <c r="J186" s="0" t="str">
        <f aca="false">"79-90"</f>
        <v>79-90</v>
      </c>
      <c r="K186" s="0" t="str">
        <f aca="false">"1.04"</f>
        <v>1.04</v>
      </c>
      <c r="L186" s="0" t="str">
        <f aca="false">"10.01"</f>
        <v>10.01</v>
      </c>
      <c r="M186" s="0" t="str">
        <f aca="false">"-155.6"</f>
        <v>-155.6</v>
      </c>
    </row>
    <row r="187" customFormat="false" ht="12.8" hidden="false" customHeight="false" outlineLevel="0" collapsed="false">
      <c r="A187" s="0" t="s">
        <v>8</v>
      </c>
      <c r="B187" s="0" t="s">
        <v>9</v>
      </c>
      <c r="C187" s="0" t="str">
        <f aca="false">"134-145"</f>
        <v>134-145</v>
      </c>
      <c r="D187" s="0" t="s">
        <v>9</v>
      </c>
      <c r="E187" s="0" t="str">
        <f aca="false">"229-240"</f>
        <v>229-240</v>
      </c>
      <c r="F187" s="0" t="s">
        <v>204</v>
      </c>
      <c r="G187" s="0" t="s">
        <v>9</v>
      </c>
      <c r="H187" s="0" t="str">
        <f aca="false">"156-167"</f>
        <v>156-167</v>
      </c>
      <c r="I187" s="0" t="s">
        <v>9</v>
      </c>
      <c r="J187" s="0" t="str">
        <f aca="false">"192-203"</f>
        <v>192-203</v>
      </c>
      <c r="K187" s="0" t="str">
        <f aca="false">"0.76"</f>
        <v>0.76</v>
      </c>
      <c r="L187" s="0" t="str">
        <f aca="false">"9.69"</f>
        <v>9.69</v>
      </c>
      <c r="M187" s="0" t="str">
        <f aca="false">"-159.2"</f>
        <v>-159.2</v>
      </c>
    </row>
    <row r="188" customFormat="false" ht="12.8" hidden="false" customHeight="false" outlineLevel="0" collapsed="false">
      <c r="A188" s="0" t="s">
        <v>8</v>
      </c>
      <c r="B188" s="0" t="s">
        <v>9</v>
      </c>
      <c r="C188" s="0" t="str">
        <f aca="false">"135-146"</f>
        <v>135-146</v>
      </c>
      <c r="D188" s="0" t="s">
        <v>9</v>
      </c>
      <c r="E188" s="0" t="str">
        <f aca="false">"225-236"</f>
        <v>225-236</v>
      </c>
      <c r="F188" s="0" t="s">
        <v>205</v>
      </c>
      <c r="G188" s="0" t="s">
        <v>9</v>
      </c>
      <c r="H188" s="0" t="str">
        <f aca="false">"188-199"</f>
        <v>188-199</v>
      </c>
      <c r="I188" s="0" t="s">
        <v>9</v>
      </c>
      <c r="J188" s="0" t="str">
        <f aca="false">"144-155"</f>
        <v>144-155</v>
      </c>
      <c r="K188" s="0" t="str">
        <f aca="false">"0.83"</f>
        <v>0.83</v>
      </c>
      <c r="L188" s="0" t="str">
        <f aca="false">"9.65"</f>
        <v>9.65</v>
      </c>
      <c r="M188" s="0" t="str">
        <f aca="false">"-153.2"</f>
        <v>-153.2</v>
      </c>
    </row>
    <row r="189" customFormat="false" ht="12.8" hidden="false" customHeight="false" outlineLevel="0" collapsed="false">
      <c r="A189" s="0" t="s">
        <v>8</v>
      </c>
      <c r="B189" s="0" t="s">
        <v>9</v>
      </c>
      <c r="C189" s="0" t="str">
        <f aca="false">"131-142"</f>
        <v>131-142</v>
      </c>
      <c r="D189" s="0" t="s">
        <v>9</v>
      </c>
      <c r="E189" s="0" t="str">
        <f aca="false">"232-243"</f>
        <v>232-243</v>
      </c>
      <c r="F189" s="0" t="s">
        <v>206</v>
      </c>
      <c r="G189" s="0" t="s">
        <v>9</v>
      </c>
      <c r="H189" s="0" t="str">
        <f aca="false">"82-93"</f>
        <v>82-93</v>
      </c>
      <c r="I189" s="0" t="s">
        <v>9</v>
      </c>
      <c r="J189" s="0" t="str">
        <f aca="false">"63-74"</f>
        <v>63-74</v>
      </c>
      <c r="K189" s="0" t="str">
        <f aca="false">"1.22"</f>
        <v>1.22</v>
      </c>
      <c r="L189" s="0" t="str">
        <f aca="false">"11.05"</f>
        <v>11.05</v>
      </c>
      <c r="M189" s="0" t="str">
        <f aca="false">"-146.5"</f>
        <v>-146.5</v>
      </c>
    </row>
    <row r="190" customFormat="false" ht="12.8" hidden="false" customHeight="false" outlineLevel="0" collapsed="false">
      <c r="A190" s="0" t="s">
        <v>8</v>
      </c>
      <c r="B190" s="0" t="s">
        <v>9</v>
      </c>
      <c r="C190" s="0" t="str">
        <f aca="false">"134-145"</f>
        <v>134-145</v>
      </c>
      <c r="D190" s="0" t="s">
        <v>9</v>
      </c>
      <c r="E190" s="0" t="str">
        <f aca="false">"229-240"</f>
        <v>229-240</v>
      </c>
      <c r="F190" s="0" t="s">
        <v>207</v>
      </c>
      <c r="G190" s="0" t="s">
        <v>9</v>
      </c>
      <c r="H190" s="0" t="str">
        <f aca="false">"307-318"</f>
        <v>307-318</v>
      </c>
      <c r="I190" s="0" t="s">
        <v>9</v>
      </c>
      <c r="J190" s="0" t="str">
        <f aca="false">"244-255"</f>
        <v>244-255</v>
      </c>
      <c r="K190" s="0" t="str">
        <f aca="false">"0.55"</f>
        <v>0.55</v>
      </c>
      <c r="L190" s="0" t="str">
        <f aca="false">"9.53"</f>
        <v>9.53</v>
      </c>
      <c r="M190" s="0" t="str">
        <f aca="false">"-152.0"</f>
        <v>-152.0</v>
      </c>
    </row>
    <row r="191" customFormat="false" ht="12.8" hidden="false" customHeight="false" outlineLevel="0" collapsed="false">
      <c r="A191" s="0" t="s">
        <v>8</v>
      </c>
      <c r="B191" s="0" t="s">
        <v>9</v>
      </c>
      <c r="C191" s="0" t="str">
        <f aca="false">"128-139"</f>
        <v>128-139</v>
      </c>
      <c r="D191" s="0" t="s">
        <v>9</v>
      </c>
      <c r="E191" s="0" t="str">
        <f aca="false">"233-244"</f>
        <v>233-244</v>
      </c>
      <c r="F191" s="0" t="s">
        <v>208</v>
      </c>
      <c r="G191" s="0" t="s">
        <v>13</v>
      </c>
      <c r="H191" s="0" t="str">
        <f aca="false">"40-51"</f>
        <v>40-51</v>
      </c>
      <c r="I191" s="0" t="s">
        <v>13</v>
      </c>
      <c r="J191" s="0" t="str">
        <f aca="false">"138-149"</f>
        <v>138-149</v>
      </c>
      <c r="K191" s="0" t="str">
        <f aca="false">"0.89"</f>
        <v>0.89</v>
      </c>
      <c r="L191" s="0" t="str">
        <f aca="false">"11.31"</f>
        <v>11.31</v>
      </c>
      <c r="M191" s="0" t="str">
        <f aca="false">"-153.8"</f>
        <v>-153.8</v>
      </c>
    </row>
    <row r="192" customFormat="false" ht="12.8" hidden="false" customHeight="false" outlineLevel="0" collapsed="false">
      <c r="A192" s="0" t="s">
        <v>8</v>
      </c>
      <c r="B192" s="0" t="s">
        <v>9</v>
      </c>
      <c r="C192" s="0" t="str">
        <f aca="false">"134-145"</f>
        <v>134-145</v>
      </c>
      <c r="D192" s="0" t="s">
        <v>9</v>
      </c>
      <c r="E192" s="0" t="str">
        <f aca="false">"229-240"</f>
        <v>229-240</v>
      </c>
      <c r="F192" s="0" t="s">
        <v>209</v>
      </c>
      <c r="G192" s="0" t="s">
        <v>70</v>
      </c>
      <c r="H192" s="0" t="str">
        <f aca="false">"58-69"</f>
        <v>58-69</v>
      </c>
      <c r="I192" s="0" t="s">
        <v>70</v>
      </c>
      <c r="J192" s="0" t="str">
        <f aca="false">"26-37"</f>
        <v>26-37</v>
      </c>
      <c r="K192" s="0" t="str">
        <f aca="false">"0.43"</f>
        <v>0.43</v>
      </c>
      <c r="L192" s="0" t="str">
        <f aca="false">"9.29"</f>
        <v>9.29</v>
      </c>
      <c r="M192" s="0" t="str">
        <f aca="false">"-154.7"</f>
        <v>-154.7</v>
      </c>
    </row>
    <row r="193" customFormat="false" ht="12.8" hidden="false" customHeight="false" outlineLevel="0" collapsed="false">
      <c r="A193" s="0" t="s">
        <v>8</v>
      </c>
      <c r="B193" s="0" t="s">
        <v>9</v>
      </c>
      <c r="C193" s="0" t="str">
        <f aca="false">"131-142"</f>
        <v>131-142</v>
      </c>
      <c r="D193" s="0" t="s">
        <v>9</v>
      </c>
      <c r="E193" s="0" t="str">
        <f aca="false">"232-243"</f>
        <v>232-243</v>
      </c>
      <c r="F193" s="0" t="s">
        <v>210</v>
      </c>
      <c r="G193" s="0" t="s">
        <v>13</v>
      </c>
      <c r="H193" s="0" t="str">
        <f aca="false">"125-136"</f>
        <v>125-136</v>
      </c>
      <c r="I193" s="0" t="s">
        <v>13</v>
      </c>
      <c r="J193" s="0" t="str">
        <f aca="false">"76-87"</f>
        <v>76-87</v>
      </c>
      <c r="K193" s="0" t="str">
        <f aca="false">"1.06"</f>
        <v>1.06</v>
      </c>
      <c r="L193" s="0" t="str">
        <f aca="false">"10.89"</f>
        <v>10.89</v>
      </c>
      <c r="M193" s="0" t="str">
        <f aca="false">"-155.2"</f>
        <v>-155.2</v>
      </c>
    </row>
    <row r="194" customFormat="false" ht="12.8" hidden="false" customHeight="false" outlineLevel="0" collapsed="false">
      <c r="A194" s="0" t="s">
        <v>8</v>
      </c>
      <c r="B194" s="0" t="s">
        <v>9</v>
      </c>
      <c r="C194" s="0" t="str">
        <f aca="false">"131-142"</f>
        <v>131-142</v>
      </c>
      <c r="D194" s="0" t="s">
        <v>9</v>
      </c>
      <c r="E194" s="0" t="str">
        <f aca="false">"233-244"</f>
        <v>233-244</v>
      </c>
      <c r="F194" s="0" t="s">
        <v>211</v>
      </c>
      <c r="G194" s="0" t="s">
        <v>71</v>
      </c>
      <c r="H194" s="0" t="str">
        <f aca="false">"53-64"</f>
        <v>53-64</v>
      </c>
      <c r="I194" s="0" t="s">
        <v>71</v>
      </c>
      <c r="J194" s="0" t="str">
        <f aca="false">"29-40"</f>
        <v>29-40</v>
      </c>
      <c r="K194" s="0" t="str">
        <f aca="false">"0.80"</f>
        <v>0.80</v>
      </c>
      <c r="L194" s="0" t="str">
        <f aca="false">"9.37"</f>
        <v>9.37</v>
      </c>
      <c r="M194" s="0" t="str">
        <f aca="false">"-153.0"</f>
        <v>-153.0</v>
      </c>
    </row>
    <row r="195" customFormat="false" ht="12.8" hidden="false" customHeight="false" outlineLevel="0" collapsed="false">
      <c r="A195" s="0" t="s">
        <v>8</v>
      </c>
      <c r="B195" s="0" t="s">
        <v>9</v>
      </c>
      <c r="C195" s="0" t="str">
        <f aca="false">"134-145"</f>
        <v>134-145</v>
      </c>
      <c r="D195" s="0" t="s">
        <v>9</v>
      </c>
      <c r="E195" s="0" t="str">
        <f aca="false">"229-240"</f>
        <v>229-240</v>
      </c>
      <c r="F195" s="0" t="s">
        <v>212</v>
      </c>
      <c r="G195" s="0" t="s">
        <v>9</v>
      </c>
      <c r="H195" s="0" t="str">
        <f aca="false">"648-659"</f>
        <v>648-659</v>
      </c>
      <c r="I195" s="0" t="s">
        <v>9</v>
      </c>
      <c r="J195" s="0" t="str">
        <f aca="false">"695-706"</f>
        <v>695-706</v>
      </c>
      <c r="K195" s="0" t="str">
        <f aca="false">"0.83"</f>
        <v>0.83</v>
      </c>
      <c r="L195" s="0" t="str">
        <f aca="false">"9.43"</f>
        <v>9.43</v>
      </c>
      <c r="M195" s="0" t="str">
        <f aca="false">"-162.4"</f>
        <v>-162.4</v>
      </c>
    </row>
    <row r="196" customFormat="false" ht="12.8" hidden="false" customHeight="false" outlineLevel="0" collapsed="false">
      <c r="A196" s="0" t="s">
        <v>8</v>
      </c>
      <c r="B196" s="0" t="s">
        <v>9</v>
      </c>
      <c r="C196" s="0" t="str">
        <f aca="false">"134-145"</f>
        <v>134-145</v>
      </c>
      <c r="D196" s="0" t="s">
        <v>9</v>
      </c>
      <c r="E196" s="0" t="str">
        <f aca="false">"229-240"</f>
        <v>229-240</v>
      </c>
      <c r="F196" s="0" t="s">
        <v>213</v>
      </c>
      <c r="G196" s="0" t="s">
        <v>62</v>
      </c>
      <c r="H196" s="0" t="str">
        <f aca="false">"123-134"</f>
        <v>123-134</v>
      </c>
      <c r="I196" s="0" t="s">
        <v>62</v>
      </c>
      <c r="J196" s="0" t="str">
        <f aca="false">"101-112"</f>
        <v>101-112</v>
      </c>
      <c r="K196" s="0" t="str">
        <f aca="false">"0.59"</f>
        <v>0.59</v>
      </c>
      <c r="L196" s="0" t="str">
        <f aca="false">"8.49"</f>
        <v>8.49</v>
      </c>
      <c r="M196" s="0" t="str">
        <f aca="false">"-154.4"</f>
        <v>-154.4</v>
      </c>
    </row>
    <row r="197" customFormat="false" ht="12.8" hidden="false" customHeight="false" outlineLevel="0" collapsed="false">
      <c r="A197" s="0" t="s">
        <v>8</v>
      </c>
      <c r="B197" s="0" t="s">
        <v>9</v>
      </c>
      <c r="C197" s="0" t="str">
        <f aca="false">"127-138"</f>
        <v>127-138</v>
      </c>
      <c r="D197" s="0" t="s">
        <v>9</v>
      </c>
      <c r="E197" s="0" t="str">
        <f aca="false">"233-244"</f>
        <v>233-244</v>
      </c>
      <c r="F197" s="0" t="s">
        <v>214</v>
      </c>
      <c r="G197" s="0" t="s">
        <v>9</v>
      </c>
      <c r="H197" s="0" t="str">
        <f aca="false">"40-51"</f>
        <v>40-51</v>
      </c>
      <c r="I197" s="0" t="s">
        <v>9</v>
      </c>
      <c r="J197" s="0" t="str">
        <f aca="false">"64-75"</f>
        <v>64-75</v>
      </c>
      <c r="K197" s="0" t="str">
        <f aca="false">"1.19"</f>
        <v>1.19</v>
      </c>
      <c r="L197" s="0" t="str">
        <f aca="false">"11.01"</f>
        <v>11.01</v>
      </c>
      <c r="M197" s="0" t="str">
        <f aca="false">"-174.9"</f>
        <v>-174.9</v>
      </c>
    </row>
    <row r="198" customFormat="false" ht="12.8" hidden="false" customHeight="false" outlineLevel="0" collapsed="false">
      <c r="A198" s="0" t="s">
        <v>8</v>
      </c>
      <c r="B198" s="0" t="s">
        <v>9</v>
      </c>
      <c r="C198" s="0" t="str">
        <f aca="false">"134-145"</f>
        <v>134-145</v>
      </c>
      <c r="D198" s="0" t="s">
        <v>9</v>
      </c>
      <c r="E198" s="0" t="str">
        <f aca="false">"229-240"</f>
        <v>229-240</v>
      </c>
      <c r="F198" s="0" t="s">
        <v>215</v>
      </c>
      <c r="G198" s="0" t="s">
        <v>9</v>
      </c>
      <c r="H198" s="0" t="str">
        <f aca="false">"42-53"</f>
        <v>42-53</v>
      </c>
      <c r="I198" s="0" t="s">
        <v>9</v>
      </c>
      <c r="J198" s="0" t="str">
        <f aca="false">"131-142"</f>
        <v>131-142</v>
      </c>
      <c r="K198" s="0" t="str">
        <f aca="false">"0.52"</f>
        <v>0.52</v>
      </c>
      <c r="L198" s="0" t="str">
        <f aca="false">"9.17"</f>
        <v>9.17</v>
      </c>
      <c r="M198" s="0" t="str">
        <f aca="false">"-160.6"</f>
        <v>-160.6</v>
      </c>
    </row>
    <row r="199" customFormat="false" ht="12.8" hidden="false" customHeight="false" outlineLevel="0" collapsed="false">
      <c r="A199" s="0" t="s">
        <v>8</v>
      </c>
      <c r="B199" s="0" t="s">
        <v>9</v>
      </c>
      <c r="C199" s="0" t="str">
        <f aca="false">"137-148"</f>
        <v>137-148</v>
      </c>
      <c r="D199" s="0" t="s">
        <v>9</v>
      </c>
      <c r="E199" s="0" t="str">
        <f aca="false">"226-237"</f>
        <v>226-237</v>
      </c>
      <c r="F199" s="0" t="s">
        <v>216</v>
      </c>
      <c r="G199" s="0" t="s">
        <v>9</v>
      </c>
      <c r="H199" s="0" t="str">
        <f aca="false">"83-94"</f>
        <v>83-94</v>
      </c>
      <c r="I199" s="0" t="s">
        <v>9</v>
      </c>
      <c r="J199" s="0" t="str">
        <f aca="false">"39-50"</f>
        <v>39-50</v>
      </c>
      <c r="K199" s="0" t="str">
        <f aca="false">"0.51"</f>
        <v>0.51</v>
      </c>
      <c r="L199" s="0" t="str">
        <f aca="false">"9.66"</f>
        <v>9.66</v>
      </c>
      <c r="M199" s="0" t="str">
        <f aca="false">"-149.6"</f>
        <v>-149.6</v>
      </c>
    </row>
    <row r="200" customFormat="false" ht="12.8" hidden="false" customHeight="false" outlineLevel="0" collapsed="false">
      <c r="A200" s="0" t="s">
        <v>8</v>
      </c>
      <c r="B200" s="0" t="s">
        <v>9</v>
      </c>
      <c r="C200" s="0" t="str">
        <f aca="false">"134-145"</f>
        <v>134-145</v>
      </c>
      <c r="D200" s="0" t="s">
        <v>9</v>
      </c>
      <c r="E200" s="0" t="str">
        <f aca="false">"226-237"</f>
        <v>226-237</v>
      </c>
      <c r="F200" s="0" t="s">
        <v>217</v>
      </c>
      <c r="G200" s="0" t="s">
        <v>13</v>
      </c>
      <c r="H200" s="0" t="str">
        <f aca="false">"21-32"</f>
        <v>21-32</v>
      </c>
      <c r="I200" s="0" t="s">
        <v>13</v>
      </c>
      <c r="J200" s="0" t="str">
        <f aca="false">"59-70"</f>
        <v>59-70</v>
      </c>
      <c r="K200" s="0" t="str">
        <f aca="false">"0.51"</f>
        <v>0.51</v>
      </c>
      <c r="L200" s="0" t="str">
        <f aca="false">"9.84"</f>
        <v>9.84</v>
      </c>
      <c r="M200" s="0" t="str">
        <f aca="false">"-154.1"</f>
        <v>-154.1</v>
      </c>
    </row>
    <row r="201" customFormat="false" ht="12.8" hidden="false" customHeight="false" outlineLevel="0" collapsed="false">
      <c r="A201" s="0" t="s">
        <v>8</v>
      </c>
      <c r="B201" s="0" t="s">
        <v>9</v>
      </c>
      <c r="C201" s="0" t="str">
        <f aca="false">"127-138"</f>
        <v>127-138</v>
      </c>
      <c r="D201" s="0" t="s">
        <v>9</v>
      </c>
      <c r="E201" s="0" t="str">
        <f aca="false">"233-244"</f>
        <v>233-244</v>
      </c>
      <c r="F201" s="0" t="s">
        <v>218</v>
      </c>
      <c r="G201" s="0" t="s">
        <v>9</v>
      </c>
      <c r="H201" s="0" t="str">
        <f aca="false">"125-136"</f>
        <v>125-136</v>
      </c>
      <c r="I201" s="0" t="s">
        <v>9</v>
      </c>
      <c r="J201" s="0" t="str">
        <f aca="false">"95-106"</f>
        <v>95-106</v>
      </c>
      <c r="K201" s="0" t="str">
        <f aca="false">"1.05"</f>
        <v>1.05</v>
      </c>
      <c r="L201" s="0" t="str">
        <f aca="false">"10.70"</f>
        <v>10.70</v>
      </c>
      <c r="M201" s="0" t="str">
        <f aca="false">"-155.6"</f>
        <v>-155.6</v>
      </c>
    </row>
    <row r="202" customFormat="false" ht="12.8" hidden="false" customHeight="false" outlineLevel="0" collapsed="false">
      <c r="A202" s="0" t="s">
        <v>8</v>
      </c>
      <c r="B202" s="0" t="s">
        <v>9</v>
      </c>
      <c r="C202" s="0" t="str">
        <f aca="false">"130-141"</f>
        <v>130-141</v>
      </c>
      <c r="D202" s="0" t="s">
        <v>9</v>
      </c>
      <c r="E202" s="0" t="str">
        <f aca="false">"232-243"</f>
        <v>232-243</v>
      </c>
      <c r="F202" s="0" t="s">
        <v>219</v>
      </c>
      <c r="G202" s="0" t="s">
        <v>9</v>
      </c>
      <c r="H202" s="0" t="str">
        <f aca="false">"28-39"</f>
        <v>28-39</v>
      </c>
      <c r="I202" s="0" t="s">
        <v>9</v>
      </c>
      <c r="J202" s="0" t="str">
        <f aca="false">"200-211"</f>
        <v>200-211</v>
      </c>
      <c r="K202" s="0" t="str">
        <f aca="false">"1.22"</f>
        <v>1.22</v>
      </c>
      <c r="L202" s="0" t="str">
        <f aca="false">"11.07"</f>
        <v>11.07</v>
      </c>
      <c r="M202" s="0" t="str">
        <f aca="false">"-170.2"</f>
        <v>-170.2</v>
      </c>
    </row>
    <row r="203" customFormat="false" ht="12.8" hidden="false" customHeight="false" outlineLevel="0" collapsed="false">
      <c r="A203" s="0" t="s">
        <v>8</v>
      </c>
      <c r="B203" s="0" t="s">
        <v>9</v>
      </c>
      <c r="C203" s="0" t="str">
        <f aca="false">"134-145"</f>
        <v>134-145</v>
      </c>
      <c r="D203" s="0" t="s">
        <v>9</v>
      </c>
      <c r="E203" s="0" t="str">
        <f aca="false">"226-237"</f>
        <v>226-237</v>
      </c>
      <c r="F203" s="0" t="s">
        <v>220</v>
      </c>
      <c r="G203" s="0" t="s">
        <v>9</v>
      </c>
      <c r="H203" s="0" t="str">
        <f aca="false">"302-313"</f>
        <v>302-313</v>
      </c>
      <c r="I203" s="0" t="s">
        <v>9</v>
      </c>
      <c r="J203" s="0" t="str">
        <f aca="false">"136-147"</f>
        <v>136-147</v>
      </c>
      <c r="K203" s="0" t="str">
        <f aca="false">"0.88"</f>
        <v>0.88</v>
      </c>
      <c r="L203" s="0" t="str">
        <f aca="false">"10.33"</f>
        <v>10.33</v>
      </c>
      <c r="M203" s="0" t="str">
        <f aca="false">"-162.2"</f>
        <v>-162.2</v>
      </c>
    </row>
    <row r="204" customFormat="false" ht="12.8" hidden="false" customHeight="false" outlineLevel="0" collapsed="false">
      <c r="A204" s="0" t="s">
        <v>8</v>
      </c>
      <c r="B204" s="0" t="s">
        <v>9</v>
      </c>
      <c r="C204" s="0" t="str">
        <f aca="false">"134-145"</f>
        <v>134-145</v>
      </c>
      <c r="D204" s="0" t="s">
        <v>9</v>
      </c>
      <c r="E204" s="0" t="str">
        <f aca="false">"229-240"</f>
        <v>229-240</v>
      </c>
      <c r="F204" s="0" t="s">
        <v>221</v>
      </c>
      <c r="G204" s="0" t="s">
        <v>13</v>
      </c>
      <c r="H204" s="0" t="str">
        <f aca="false">"265-276"</f>
        <v>265-276</v>
      </c>
      <c r="I204" s="0" t="s">
        <v>13</v>
      </c>
      <c r="J204" s="0" t="str">
        <f aca="false">"307-318"</f>
        <v>307-318</v>
      </c>
      <c r="K204" s="0" t="str">
        <f aca="false">"0.78"</f>
        <v>0.78</v>
      </c>
      <c r="L204" s="0" t="str">
        <f aca="false">"9.31"</f>
        <v>9.31</v>
      </c>
      <c r="M204" s="0" t="str">
        <f aca="false">"-151.7"</f>
        <v>-151.7</v>
      </c>
    </row>
    <row r="205" customFormat="false" ht="12.8" hidden="false" customHeight="false" outlineLevel="0" collapsed="false">
      <c r="A205" s="0" t="s">
        <v>8</v>
      </c>
      <c r="B205" s="0" t="s">
        <v>9</v>
      </c>
      <c r="C205" s="0" t="str">
        <f aca="false">"134-145"</f>
        <v>134-145</v>
      </c>
      <c r="D205" s="0" t="s">
        <v>9</v>
      </c>
      <c r="E205" s="0" t="str">
        <f aca="false">"229-240"</f>
        <v>229-240</v>
      </c>
      <c r="F205" s="0" t="s">
        <v>222</v>
      </c>
      <c r="G205" s="0" t="s">
        <v>9</v>
      </c>
      <c r="H205" s="0" t="str">
        <f aca="false">"176-187"</f>
        <v>176-187</v>
      </c>
      <c r="I205" s="0" t="s">
        <v>9</v>
      </c>
      <c r="J205" s="0" t="str">
        <f aca="false">"143-154"</f>
        <v>143-154</v>
      </c>
      <c r="K205" s="0" t="str">
        <f aca="false">"0.64"</f>
        <v>0.64</v>
      </c>
      <c r="L205" s="0" t="str">
        <f aca="false">"9.45"</f>
        <v>9.45</v>
      </c>
      <c r="M205" s="0" t="str">
        <f aca="false">"-155.3"</f>
        <v>-155.3</v>
      </c>
    </row>
    <row r="206" customFormat="false" ht="12.8" hidden="false" customHeight="false" outlineLevel="0" collapsed="false">
      <c r="A206" s="0" t="s">
        <v>8</v>
      </c>
      <c r="B206" s="0" t="s">
        <v>9</v>
      </c>
      <c r="C206" s="0" t="str">
        <f aca="false">"131-142"</f>
        <v>131-142</v>
      </c>
      <c r="D206" s="0" t="s">
        <v>9</v>
      </c>
      <c r="E206" s="0" t="str">
        <f aca="false">"233-244"</f>
        <v>233-244</v>
      </c>
      <c r="F206" s="0" t="s">
        <v>223</v>
      </c>
      <c r="G206" s="0" t="s">
        <v>71</v>
      </c>
      <c r="H206" s="0" t="str">
        <f aca="false">"125-136"</f>
        <v>125-136</v>
      </c>
      <c r="I206" s="0" t="s">
        <v>71</v>
      </c>
      <c r="J206" s="0" t="str">
        <f aca="false">"111-122"</f>
        <v>111-122</v>
      </c>
      <c r="K206" s="0" t="str">
        <f aca="false">"1.01"</f>
        <v>1.01</v>
      </c>
      <c r="L206" s="0" t="str">
        <f aca="false">"9.78"</f>
        <v>9.78</v>
      </c>
      <c r="M206" s="0" t="str">
        <f aca="false">"-158.6"</f>
        <v>-158.6</v>
      </c>
    </row>
    <row r="207" customFormat="false" ht="12.8" hidden="false" customHeight="false" outlineLevel="0" collapsed="false">
      <c r="A207" s="0" t="s">
        <v>8</v>
      </c>
      <c r="B207" s="0" t="s">
        <v>9</v>
      </c>
      <c r="C207" s="0" t="str">
        <f aca="false">"134-145"</f>
        <v>134-145</v>
      </c>
      <c r="D207" s="0" t="s">
        <v>9</v>
      </c>
      <c r="E207" s="0" t="str">
        <f aca="false">"229-240"</f>
        <v>229-240</v>
      </c>
      <c r="F207" s="0" t="s">
        <v>224</v>
      </c>
      <c r="G207" s="0" t="s">
        <v>13</v>
      </c>
      <c r="H207" s="0" t="str">
        <f aca="false">"60-71"</f>
        <v>60-71</v>
      </c>
      <c r="I207" s="0" t="s">
        <v>13</v>
      </c>
      <c r="J207" s="0" t="str">
        <f aca="false">"7-18"</f>
        <v>7-18</v>
      </c>
      <c r="K207" s="0" t="str">
        <f aca="false">"0.61"</f>
        <v>0.61</v>
      </c>
      <c r="L207" s="0" t="str">
        <f aca="false">"9.84"</f>
        <v>9.84</v>
      </c>
      <c r="M207" s="0" t="str">
        <f aca="false">"-160.6"</f>
        <v>-160.6</v>
      </c>
    </row>
    <row r="208" customFormat="false" ht="12.8" hidden="false" customHeight="false" outlineLevel="0" collapsed="false">
      <c r="A208" s="0" t="s">
        <v>8</v>
      </c>
      <c r="B208" s="0" t="s">
        <v>9</v>
      </c>
      <c r="C208" s="0" t="str">
        <f aca="false">"131-142"</f>
        <v>131-142</v>
      </c>
      <c r="D208" s="0" t="s">
        <v>9</v>
      </c>
      <c r="E208" s="0" t="str">
        <f aca="false">"230-241"</f>
        <v>230-241</v>
      </c>
      <c r="F208" s="0" t="s">
        <v>225</v>
      </c>
      <c r="G208" s="0" t="s">
        <v>9</v>
      </c>
      <c r="H208" s="0" t="str">
        <f aca="false">"149-160"</f>
        <v>149-160</v>
      </c>
      <c r="I208" s="0" t="s">
        <v>9</v>
      </c>
      <c r="J208" s="0" t="str">
        <f aca="false">"171-182"</f>
        <v>171-182</v>
      </c>
      <c r="K208" s="0" t="str">
        <f aca="false">"1.09"</f>
        <v>1.09</v>
      </c>
      <c r="L208" s="0" t="str">
        <f aca="false">"9.43"</f>
        <v>9.43</v>
      </c>
      <c r="M208" s="0" t="str">
        <f aca="false">"-162.4"</f>
        <v>-162.4</v>
      </c>
    </row>
    <row r="209" customFormat="false" ht="12.8" hidden="false" customHeight="false" outlineLevel="0" collapsed="false">
      <c r="A209" s="0" t="s">
        <v>8</v>
      </c>
      <c r="B209" s="0" t="s">
        <v>9</v>
      </c>
      <c r="C209" s="0" t="str">
        <f aca="false">"130-141"</f>
        <v>130-141</v>
      </c>
      <c r="D209" s="0" t="s">
        <v>9</v>
      </c>
      <c r="E209" s="0" t="str">
        <f aca="false">"232-243"</f>
        <v>232-243</v>
      </c>
      <c r="F209" s="0" t="s">
        <v>226</v>
      </c>
      <c r="G209" s="0" t="s">
        <v>9</v>
      </c>
      <c r="H209" s="0" t="str">
        <f aca="false">"61-72"</f>
        <v>61-72</v>
      </c>
      <c r="I209" s="0" t="s">
        <v>13</v>
      </c>
      <c r="J209" s="0" t="str">
        <f aca="false">"75-86"</f>
        <v>75-86</v>
      </c>
      <c r="K209" s="0" t="str">
        <f aca="false">"1.09"</f>
        <v>1.09</v>
      </c>
      <c r="L209" s="0" t="str">
        <f aca="false">"9.68"</f>
        <v>9.68</v>
      </c>
      <c r="M209" s="0" t="str">
        <f aca="false">"-165.2"</f>
        <v>-165.2</v>
      </c>
    </row>
    <row r="210" customFormat="false" ht="12.8" hidden="false" customHeight="false" outlineLevel="0" collapsed="false">
      <c r="A210" s="0" t="s">
        <v>8</v>
      </c>
      <c r="B210" s="0" t="s">
        <v>9</v>
      </c>
      <c r="C210" s="0" t="str">
        <f aca="false">"134-145"</f>
        <v>134-145</v>
      </c>
      <c r="D210" s="0" t="s">
        <v>9</v>
      </c>
      <c r="E210" s="0" t="str">
        <f aca="false">"230-241"</f>
        <v>230-241</v>
      </c>
      <c r="F210" s="0" t="s">
        <v>227</v>
      </c>
      <c r="G210" s="0" t="s">
        <v>9</v>
      </c>
      <c r="H210" s="0" t="str">
        <f aca="false">"274-285"</f>
        <v>274-285</v>
      </c>
      <c r="I210" s="0" t="s">
        <v>9</v>
      </c>
      <c r="J210" s="0" t="str">
        <f aca="false">"249-260"</f>
        <v>249-260</v>
      </c>
      <c r="K210" s="0" t="str">
        <f aca="false">"1.22"</f>
        <v>1.22</v>
      </c>
      <c r="L210" s="0" t="str">
        <f aca="false">"11.36"</f>
        <v>11.36</v>
      </c>
      <c r="M210" s="0" t="str">
        <f aca="false">"-154.7"</f>
        <v>-154.7</v>
      </c>
    </row>
    <row r="211" customFormat="false" ht="12.8" hidden="false" customHeight="false" outlineLevel="0" collapsed="false">
      <c r="A211" s="0" t="s">
        <v>8</v>
      </c>
      <c r="B211" s="0" t="s">
        <v>9</v>
      </c>
      <c r="C211" s="0" t="str">
        <f aca="false">"134-145"</f>
        <v>134-145</v>
      </c>
      <c r="D211" s="0" t="s">
        <v>9</v>
      </c>
      <c r="E211" s="0" t="str">
        <f aca="false">"229-240"</f>
        <v>229-240</v>
      </c>
      <c r="F211" s="0" t="s">
        <v>228</v>
      </c>
      <c r="G211" s="0" t="s">
        <v>9</v>
      </c>
      <c r="H211" s="0" t="str">
        <f aca="false">"32-43"</f>
        <v>32-43</v>
      </c>
      <c r="I211" s="0" t="s">
        <v>13</v>
      </c>
      <c r="J211" s="0" t="str">
        <f aca="false">"122-133"</f>
        <v>122-133</v>
      </c>
      <c r="K211" s="0" t="str">
        <f aca="false">"1.14"</f>
        <v>1.14</v>
      </c>
      <c r="L211" s="0" t="str">
        <f aca="false">"8.75"</f>
        <v>8.75</v>
      </c>
      <c r="M211" s="0" t="str">
        <f aca="false">"-163.3"</f>
        <v>-163.3</v>
      </c>
    </row>
    <row r="212" customFormat="false" ht="12.8" hidden="false" customHeight="false" outlineLevel="0" collapsed="false">
      <c r="A212" s="0" t="s">
        <v>8</v>
      </c>
      <c r="B212" s="0" t="s">
        <v>9</v>
      </c>
      <c r="C212" s="0" t="str">
        <f aca="false">"134-145"</f>
        <v>134-145</v>
      </c>
      <c r="D212" s="0" t="s">
        <v>9</v>
      </c>
      <c r="E212" s="0" t="str">
        <f aca="false">"229-240"</f>
        <v>229-240</v>
      </c>
      <c r="F212" s="0" t="s">
        <v>229</v>
      </c>
      <c r="G212" s="0" t="s">
        <v>13</v>
      </c>
      <c r="H212" s="0" t="str">
        <f aca="false">"567-578"</f>
        <v>567-578</v>
      </c>
      <c r="I212" s="0" t="s">
        <v>13</v>
      </c>
      <c r="J212" s="0" t="str">
        <f aca="false">"610-621"</f>
        <v>610-621</v>
      </c>
      <c r="K212" s="0" t="str">
        <f aca="false">"0.81"</f>
        <v>0.81</v>
      </c>
      <c r="L212" s="0" t="str">
        <f aca="false">"9.91"</f>
        <v>9.91</v>
      </c>
      <c r="M212" s="0" t="str">
        <f aca="false">"-156.4"</f>
        <v>-156.4</v>
      </c>
    </row>
    <row r="213" customFormat="false" ht="12.8" hidden="false" customHeight="false" outlineLevel="0" collapsed="false">
      <c r="A213" s="0" t="s">
        <v>8</v>
      </c>
      <c r="B213" s="0" t="s">
        <v>9</v>
      </c>
      <c r="C213" s="0" t="str">
        <f aca="false">"134-145"</f>
        <v>134-145</v>
      </c>
      <c r="D213" s="0" t="s">
        <v>9</v>
      </c>
      <c r="E213" s="0" t="str">
        <f aca="false">"229-240"</f>
        <v>229-240</v>
      </c>
      <c r="F213" s="0" t="s">
        <v>230</v>
      </c>
      <c r="G213" s="0" t="s">
        <v>9</v>
      </c>
      <c r="H213" s="0" t="str">
        <f aca="false">"128-139"</f>
        <v>128-139</v>
      </c>
      <c r="I213" s="0" t="s">
        <v>9</v>
      </c>
      <c r="J213" s="0" t="str">
        <f aca="false">"165-176"</f>
        <v>165-176</v>
      </c>
      <c r="K213" s="0" t="str">
        <f aca="false">"0.71"</f>
        <v>0.71</v>
      </c>
      <c r="L213" s="0" t="str">
        <f aca="false">"9.63"</f>
        <v>9.63</v>
      </c>
      <c r="M213" s="0" t="str">
        <f aca="false">"-153.6"</f>
        <v>-153.6</v>
      </c>
    </row>
    <row r="214" customFormat="false" ht="12.8" hidden="false" customHeight="false" outlineLevel="0" collapsed="false">
      <c r="A214" s="0" t="s">
        <v>8</v>
      </c>
      <c r="B214" s="0" t="s">
        <v>9</v>
      </c>
      <c r="C214" s="0" t="str">
        <f aca="false">"134-145"</f>
        <v>134-145</v>
      </c>
      <c r="D214" s="0" t="s">
        <v>9</v>
      </c>
      <c r="E214" s="0" t="str">
        <f aca="false">"229-240"</f>
        <v>229-240</v>
      </c>
      <c r="F214" s="0" t="s">
        <v>231</v>
      </c>
      <c r="G214" s="0" t="s">
        <v>9</v>
      </c>
      <c r="H214" s="0" t="str">
        <f aca="false">"12-23"</f>
        <v>12-23</v>
      </c>
      <c r="I214" s="0" t="s">
        <v>9</v>
      </c>
      <c r="J214" s="0" t="str">
        <f aca="false">"52-63"</f>
        <v>52-63</v>
      </c>
      <c r="K214" s="0" t="str">
        <f aca="false">"0.44"</f>
        <v>0.44</v>
      </c>
      <c r="L214" s="0" t="str">
        <f aca="false">"9.12"</f>
        <v>9.12</v>
      </c>
      <c r="M214" s="0" t="str">
        <f aca="false">"-155.0"</f>
        <v>-155.0</v>
      </c>
    </row>
    <row r="215" customFormat="false" ht="12.8" hidden="false" customHeight="false" outlineLevel="0" collapsed="false">
      <c r="A215" s="0" t="s">
        <v>8</v>
      </c>
      <c r="B215" s="0" t="s">
        <v>9</v>
      </c>
      <c r="C215" s="0" t="str">
        <f aca="false">"134-145"</f>
        <v>134-145</v>
      </c>
      <c r="D215" s="0" t="s">
        <v>9</v>
      </c>
      <c r="E215" s="0" t="str">
        <f aca="false">"229-240"</f>
        <v>229-240</v>
      </c>
      <c r="F215" s="0" t="s">
        <v>232</v>
      </c>
      <c r="G215" s="0" t="s">
        <v>9</v>
      </c>
      <c r="H215" s="0" t="str">
        <f aca="false">"89-100"</f>
        <v>89-100</v>
      </c>
      <c r="I215" s="0" t="s">
        <v>9</v>
      </c>
      <c r="J215" s="0" t="str">
        <f aca="false">"23-34"</f>
        <v>23-34</v>
      </c>
      <c r="K215" s="0" t="str">
        <f aca="false">"1.09"</f>
        <v>1.09</v>
      </c>
      <c r="L215" s="0" t="str">
        <f aca="false">"9.75"</f>
        <v>9.75</v>
      </c>
      <c r="M215" s="0" t="str">
        <f aca="false">"-171.5"</f>
        <v>-171.5</v>
      </c>
    </row>
    <row r="216" customFormat="false" ht="12.8" hidden="false" customHeight="false" outlineLevel="0" collapsed="false">
      <c r="A216" s="0" t="s">
        <v>8</v>
      </c>
      <c r="B216" s="0" t="s">
        <v>9</v>
      </c>
      <c r="C216" s="0" t="str">
        <f aca="false">"134-145"</f>
        <v>134-145</v>
      </c>
      <c r="D216" s="0" t="s">
        <v>9</v>
      </c>
      <c r="E216" s="0" t="str">
        <f aca="false">"229-240"</f>
        <v>229-240</v>
      </c>
      <c r="F216" s="0" t="s">
        <v>233</v>
      </c>
      <c r="G216" s="0" t="s">
        <v>234</v>
      </c>
      <c r="H216" s="0" t="str">
        <f aca="false">"36-47"</f>
        <v>36-47</v>
      </c>
      <c r="I216" s="0" t="s">
        <v>234</v>
      </c>
      <c r="J216" s="0" t="str">
        <f aca="false">"191-202"</f>
        <v>191-202</v>
      </c>
      <c r="K216" s="0" t="str">
        <f aca="false">"0.81"</f>
        <v>0.81</v>
      </c>
      <c r="L216" s="0" t="str">
        <f aca="false">"8.67"</f>
        <v>8.67</v>
      </c>
      <c r="M216" s="0" t="str">
        <f aca="false">"-157.6"</f>
        <v>-157.6</v>
      </c>
    </row>
    <row r="217" customFormat="false" ht="12.8" hidden="false" customHeight="false" outlineLevel="0" collapsed="false">
      <c r="A217" s="0" t="s">
        <v>8</v>
      </c>
      <c r="B217" s="0" t="s">
        <v>9</v>
      </c>
      <c r="C217" s="0" t="str">
        <f aca="false">"134-145"</f>
        <v>134-145</v>
      </c>
      <c r="D217" s="0" t="s">
        <v>9</v>
      </c>
      <c r="E217" s="0" t="str">
        <f aca="false">"229-240"</f>
        <v>229-240</v>
      </c>
      <c r="F217" s="0" t="s">
        <v>235</v>
      </c>
      <c r="G217" s="0" t="s">
        <v>236</v>
      </c>
      <c r="H217" s="0" t="str">
        <f aca="false">"36-47"</f>
        <v>36-47</v>
      </c>
      <c r="I217" s="0" t="s">
        <v>236</v>
      </c>
      <c r="J217" s="0" t="str">
        <f aca="false">"191-202"</f>
        <v>191-202</v>
      </c>
      <c r="K217" s="0" t="str">
        <f aca="false">"0.81"</f>
        <v>0.81</v>
      </c>
      <c r="L217" s="0" t="str">
        <f aca="false">"8.67"</f>
        <v>8.67</v>
      </c>
      <c r="M217" s="0" t="str">
        <f aca="false">"-157.6"</f>
        <v>-157.6</v>
      </c>
    </row>
    <row r="218" customFormat="false" ht="12.8" hidden="false" customHeight="false" outlineLevel="0" collapsed="false">
      <c r="A218" s="0" t="s">
        <v>8</v>
      </c>
      <c r="B218" s="0" t="s">
        <v>9</v>
      </c>
      <c r="C218" s="0" t="str">
        <f aca="false">"131-142"</f>
        <v>131-142</v>
      </c>
      <c r="D218" s="0" t="s">
        <v>9</v>
      </c>
      <c r="E218" s="0" t="str">
        <f aca="false">"230-241"</f>
        <v>230-241</v>
      </c>
      <c r="F218" s="0" t="s">
        <v>237</v>
      </c>
      <c r="G218" s="0" t="s">
        <v>9</v>
      </c>
      <c r="H218" s="0" t="str">
        <f aca="false">"550-561"</f>
        <v>550-561</v>
      </c>
      <c r="I218" s="0" t="s">
        <v>9</v>
      </c>
      <c r="J218" s="0" t="str">
        <f aca="false">"566-577"</f>
        <v>566-577</v>
      </c>
      <c r="K218" s="0" t="str">
        <f aca="false">"0.75"</f>
        <v>0.75</v>
      </c>
      <c r="L218" s="0" t="str">
        <f aca="false">"9.31"</f>
        <v>9.31</v>
      </c>
      <c r="M218" s="0" t="str">
        <f aca="false">"-162.3"</f>
        <v>-162.3</v>
      </c>
    </row>
    <row r="219" customFormat="false" ht="12.8" hidden="false" customHeight="false" outlineLevel="0" collapsed="false">
      <c r="A219" s="0" t="s">
        <v>8</v>
      </c>
      <c r="B219" s="0" t="s">
        <v>9</v>
      </c>
      <c r="C219" s="0" t="str">
        <f aca="false">"134-145"</f>
        <v>134-145</v>
      </c>
      <c r="D219" s="0" t="s">
        <v>9</v>
      </c>
      <c r="E219" s="0" t="str">
        <f aca="false">"229-240"</f>
        <v>229-240</v>
      </c>
      <c r="F219" s="0" t="s">
        <v>238</v>
      </c>
      <c r="G219" s="0" t="s">
        <v>13</v>
      </c>
      <c r="H219" s="0" t="str">
        <f aca="false">"187-198"</f>
        <v>187-198</v>
      </c>
      <c r="I219" s="0" t="s">
        <v>9</v>
      </c>
      <c r="J219" s="0" t="str">
        <f aca="false">"173-184"</f>
        <v>173-184</v>
      </c>
      <c r="K219" s="0" t="str">
        <f aca="false">"0.62"</f>
        <v>0.62</v>
      </c>
      <c r="L219" s="0" t="str">
        <f aca="false">"9.04"</f>
        <v>9.04</v>
      </c>
      <c r="M219" s="0" t="str">
        <f aca="false">"-149.4"</f>
        <v>-149.4</v>
      </c>
    </row>
    <row r="220" customFormat="false" ht="12.8" hidden="false" customHeight="false" outlineLevel="0" collapsed="false">
      <c r="A220" s="0" t="s">
        <v>8</v>
      </c>
      <c r="B220" s="0" t="s">
        <v>9</v>
      </c>
      <c r="C220" s="0" t="str">
        <f aca="false">"134-145"</f>
        <v>134-145</v>
      </c>
      <c r="D220" s="0" t="s">
        <v>9</v>
      </c>
      <c r="E220" s="0" t="str">
        <f aca="false">"229-240"</f>
        <v>229-240</v>
      </c>
      <c r="F220" s="0" t="s">
        <v>239</v>
      </c>
      <c r="G220" s="0" t="s">
        <v>120</v>
      </c>
      <c r="H220" s="0" t="str">
        <f aca="false">"336-347"</f>
        <v>336-347</v>
      </c>
      <c r="I220" s="0" t="s">
        <v>120</v>
      </c>
      <c r="J220" s="0" t="str">
        <f aca="false">"365-376"</f>
        <v>365-376</v>
      </c>
      <c r="K220" s="0" t="str">
        <f aca="false">"0.75"</f>
        <v>0.75</v>
      </c>
      <c r="L220" s="0" t="str">
        <f aca="false">"9.26"</f>
        <v>9.26</v>
      </c>
      <c r="M220" s="0" t="str">
        <f aca="false">"-158.8"</f>
        <v>-158.8</v>
      </c>
    </row>
    <row r="221" customFormat="false" ht="12.8" hidden="false" customHeight="false" outlineLevel="0" collapsed="false">
      <c r="A221" s="0" t="s">
        <v>8</v>
      </c>
      <c r="B221" s="0" t="s">
        <v>9</v>
      </c>
      <c r="C221" s="0" t="str">
        <f aca="false">"134-145"</f>
        <v>134-145</v>
      </c>
      <c r="D221" s="0" t="s">
        <v>9</v>
      </c>
      <c r="E221" s="0" t="str">
        <f aca="false">"229-240"</f>
        <v>229-240</v>
      </c>
      <c r="F221" s="0" t="s">
        <v>240</v>
      </c>
      <c r="G221" s="0" t="s">
        <v>62</v>
      </c>
      <c r="H221" s="0" t="str">
        <f aca="false">"126-137"</f>
        <v>126-137</v>
      </c>
      <c r="I221" s="0" t="s">
        <v>62</v>
      </c>
      <c r="J221" s="0" t="str">
        <f aca="false">"104-115"</f>
        <v>104-115</v>
      </c>
      <c r="K221" s="0" t="str">
        <f aca="false">"0.59"</f>
        <v>0.59</v>
      </c>
      <c r="L221" s="0" t="str">
        <f aca="false">"9.31"</f>
        <v>9.31</v>
      </c>
      <c r="M221" s="0" t="str">
        <f aca="false">"-148.9"</f>
        <v>-148.9</v>
      </c>
    </row>
    <row r="222" customFormat="false" ht="12.8" hidden="false" customHeight="false" outlineLevel="0" collapsed="false">
      <c r="A222" s="0" t="s">
        <v>8</v>
      </c>
      <c r="B222" s="0" t="s">
        <v>9</v>
      </c>
      <c r="C222" s="0" t="str">
        <f aca="false">"137-148"</f>
        <v>137-148</v>
      </c>
      <c r="D222" s="0" t="s">
        <v>9</v>
      </c>
      <c r="E222" s="0" t="str">
        <f aca="false">"226-237"</f>
        <v>226-237</v>
      </c>
      <c r="F222" s="0" t="s">
        <v>241</v>
      </c>
      <c r="G222" s="0" t="s">
        <v>9</v>
      </c>
      <c r="H222" s="0" t="str">
        <f aca="false">"65-76"</f>
        <v>65-76</v>
      </c>
      <c r="I222" s="0" t="s">
        <v>9</v>
      </c>
      <c r="J222" s="0" t="str">
        <f aca="false">"114-125"</f>
        <v>114-125</v>
      </c>
      <c r="K222" s="0" t="str">
        <f aca="false">"0.96"</f>
        <v>0.96</v>
      </c>
      <c r="L222" s="0" t="str">
        <f aca="false">"9.37"</f>
        <v>9.37</v>
      </c>
      <c r="M222" s="0" t="str">
        <f aca="false">"-148.2"</f>
        <v>-148.2</v>
      </c>
    </row>
    <row r="223" customFormat="false" ht="12.8" hidden="false" customHeight="false" outlineLevel="0" collapsed="false">
      <c r="A223" s="0" t="s">
        <v>8</v>
      </c>
      <c r="B223" s="0" t="s">
        <v>9</v>
      </c>
      <c r="C223" s="0" t="str">
        <f aca="false">"134-145"</f>
        <v>134-145</v>
      </c>
      <c r="D223" s="0" t="s">
        <v>9</v>
      </c>
      <c r="E223" s="0" t="str">
        <f aca="false">"229-240"</f>
        <v>229-240</v>
      </c>
      <c r="F223" s="0" t="s">
        <v>242</v>
      </c>
      <c r="G223" s="0" t="s">
        <v>24</v>
      </c>
      <c r="H223" s="0" t="str">
        <f aca="false">"114-125"</f>
        <v>114-125</v>
      </c>
      <c r="I223" s="0" t="s">
        <v>24</v>
      </c>
      <c r="J223" s="0" t="str">
        <f aca="false">"140-151"</f>
        <v>140-151</v>
      </c>
      <c r="K223" s="0" t="str">
        <f aca="false">"0.63"</f>
        <v>0.63</v>
      </c>
      <c r="L223" s="0" t="str">
        <f aca="false">"8.93"</f>
        <v>8.93</v>
      </c>
      <c r="M223" s="0" t="str">
        <f aca="false">"-150.3"</f>
        <v>-150.3</v>
      </c>
    </row>
    <row r="224" customFormat="false" ht="12.8" hidden="false" customHeight="false" outlineLevel="0" collapsed="false">
      <c r="A224" s="0" t="s">
        <v>8</v>
      </c>
      <c r="B224" s="0" t="s">
        <v>9</v>
      </c>
      <c r="C224" s="0" t="str">
        <f aca="false">"130-141"</f>
        <v>130-141</v>
      </c>
      <c r="D224" s="0" t="s">
        <v>9</v>
      </c>
      <c r="E224" s="0" t="str">
        <f aca="false">"233-244"</f>
        <v>233-244</v>
      </c>
      <c r="F224" s="0" t="s">
        <v>243</v>
      </c>
      <c r="G224" s="0" t="s">
        <v>71</v>
      </c>
      <c r="H224" s="0" t="str">
        <f aca="false">"17-28"</f>
        <v>17-28</v>
      </c>
      <c r="I224" s="0" t="s">
        <v>71</v>
      </c>
      <c r="J224" s="0" t="str">
        <f aca="false">"122-133"</f>
        <v>122-133</v>
      </c>
      <c r="K224" s="0" t="str">
        <f aca="false">"1.20"</f>
        <v>1.20</v>
      </c>
      <c r="L224" s="0" t="str">
        <f aca="false">"10.10"</f>
        <v>10.10</v>
      </c>
      <c r="M224" s="0" t="str">
        <f aca="false">"-147.3"</f>
        <v>-147.3</v>
      </c>
    </row>
    <row r="225" customFormat="false" ht="12.8" hidden="false" customHeight="false" outlineLevel="0" collapsed="false">
      <c r="A225" s="0" t="s">
        <v>8</v>
      </c>
      <c r="B225" s="0" t="s">
        <v>9</v>
      </c>
      <c r="C225" s="0" t="str">
        <f aca="false">"137-148"</f>
        <v>137-148</v>
      </c>
      <c r="D225" s="0" t="s">
        <v>9</v>
      </c>
      <c r="E225" s="0" t="str">
        <f aca="false">"226-237"</f>
        <v>226-237</v>
      </c>
      <c r="F225" s="0" t="s">
        <v>244</v>
      </c>
      <c r="G225" s="0" t="s">
        <v>9</v>
      </c>
      <c r="H225" s="0" t="str">
        <f aca="false">"81-92"</f>
        <v>81-92</v>
      </c>
      <c r="I225" s="0" t="s">
        <v>9</v>
      </c>
      <c r="J225" s="0" t="str">
        <f aca="false">"39-50"</f>
        <v>39-50</v>
      </c>
      <c r="K225" s="0" t="str">
        <f aca="false">"0.74"</f>
        <v>0.74</v>
      </c>
      <c r="L225" s="0" t="str">
        <f aca="false">"9.41"</f>
        <v>9.41</v>
      </c>
      <c r="M225" s="0" t="str">
        <f aca="false">"-154.0"</f>
        <v>-154.0</v>
      </c>
    </row>
    <row r="226" customFormat="false" ht="12.8" hidden="false" customHeight="false" outlineLevel="0" collapsed="false">
      <c r="A226" s="0" t="s">
        <v>8</v>
      </c>
      <c r="B226" s="0" t="s">
        <v>9</v>
      </c>
      <c r="C226" s="0" t="str">
        <f aca="false">"134-145"</f>
        <v>134-145</v>
      </c>
      <c r="D226" s="0" t="s">
        <v>9</v>
      </c>
      <c r="E226" s="0" t="str">
        <f aca="false">"229-240"</f>
        <v>229-240</v>
      </c>
      <c r="F226" s="0" t="s">
        <v>245</v>
      </c>
      <c r="G226" s="0" t="s">
        <v>9</v>
      </c>
      <c r="H226" s="0" t="str">
        <f aca="false">"195-206"</f>
        <v>195-206</v>
      </c>
      <c r="I226" s="0" t="s">
        <v>9</v>
      </c>
      <c r="J226" s="0" t="str">
        <f aca="false">"74-85"</f>
        <v>74-85</v>
      </c>
      <c r="K226" s="0" t="str">
        <f aca="false">"0.84"</f>
        <v>0.84</v>
      </c>
      <c r="L226" s="0" t="str">
        <f aca="false">"9.44"</f>
        <v>9.44</v>
      </c>
      <c r="M226" s="0" t="str">
        <f aca="false">"-155.5"</f>
        <v>-155.5</v>
      </c>
    </row>
    <row r="227" customFormat="false" ht="12.8" hidden="false" customHeight="false" outlineLevel="0" collapsed="false">
      <c r="A227" s="0" t="s">
        <v>8</v>
      </c>
      <c r="B227" s="0" t="s">
        <v>9</v>
      </c>
      <c r="C227" s="0" t="str">
        <f aca="false">"134-145"</f>
        <v>134-145</v>
      </c>
      <c r="D227" s="0" t="s">
        <v>9</v>
      </c>
      <c r="E227" s="0" t="str">
        <f aca="false">"229-240"</f>
        <v>229-240</v>
      </c>
      <c r="F227" s="0" t="s">
        <v>246</v>
      </c>
      <c r="G227" s="0" t="s">
        <v>9</v>
      </c>
      <c r="H227" s="0" t="str">
        <f aca="false">"217-228"</f>
        <v>217-228</v>
      </c>
      <c r="I227" s="0" t="s">
        <v>9</v>
      </c>
      <c r="J227" s="0" t="str">
        <f aca="false">"237-248"</f>
        <v>237-248</v>
      </c>
      <c r="K227" s="0" t="str">
        <f aca="false">"0.76"</f>
        <v>0.76</v>
      </c>
      <c r="L227" s="0" t="str">
        <f aca="false">"8.98"</f>
        <v>8.98</v>
      </c>
      <c r="M227" s="0" t="str">
        <f aca="false">"-159.0"</f>
        <v>-159.0</v>
      </c>
    </row>
    <row r="228" customFormat="false" ht="12.8" hidden="false" customHeight="false" outlineLevel="0" collapsed="false">
      <c r="A228" s="0" t="s">
        <v>8</v>
      </c>
      <c r="B228" s="0" t="s">
        <v>9</v>
      </c>
      <c r="C228" s="0" t="str">
        <f aca="false">"131-142"</f>
        <v>131-142</v>
      </c>
      <c r="D228" s="0" t="s">
        <v>9</v>
      </c>
      <c r="E228" s="0" t="str">
        <f aca="false">"232-243"</f>
        <v>232-243</v>
      </c>
      <c r="F228" s="0" t="s">
        <v>247</v>
      </c>
      <c r="G228" s="0" t="s">
        <v>13</v>
      </c>
      <c r="H228" s="0" t="str">
        <f aca="false">"141-152"</f>
        <v>141-152</v>
      </c>
      <c r="I228" s="0" t="s">
        <v>13</v>
      </c>
      <c r="J228" s="0" t="str">
        <f aca="false">"191-202"</f>
        <v>191-202</v>
      </c>
      <c r="K228" s="0" t="str">
        <f aca="false">"1.17"</f>
        <v>1.17</v>
      </c>
      <c r="L228" s="0" t="str">
        <f aca="false">"10.58"</f>
        <v>10.58</v>
      </c>
      <c r="M228" s="0" t="str">
        <f aca="false">"-162.8"</f>
        <v>-162.8</v>
      </c>
    </row>
    <row r="229" customFormat="false" ht="12.8" hidden="false" customHeight="false" outlineLevel="0" collapsed="false">
      <c r="A229" s="0" t="s">
        <v>8</v>
      </c>
      <c r="B229" s="0" t="s">
        <v>9</v>
      </c>
      <c r="C229" s="0" t="str">
        <f aca="false">"134-145"</f>
        <v>134-145</v>
      </c>
      <c r="D229" s="0" t="s">
        <v>9</v>
      </c>
      <c r="E229" s="0" t="str">
        <f aca="false">"229-240"</f>
        <v>229-240</v>
      </c>
      <c r="F229" s="0" t="s">
        <v>248</v>
      </c>
      <c r="G229" s="0" t="s">
        <v>9</v>
      </c>
      <c r="H229" s="0" t="str">
        <f aca="false">"209-220"</f>
        <v>209-220</v>
      </c>
      <c r="I229" s="0" t="s">
        <v>9</v>
      </c>
      <c r="J229" s="0" t="str">
        <f aca="false">"235-246"</f>
        <v>235-246</v>
      </c>
      <c r="K229" s="0" t="str">
        <f aca="false">"0.63"</f>
        <v>0.63</v>
      </c>
      <c r="L229" s="0" t="str">
        <f aca="false">"9.01"</f>
        <v>9.01</v>
      </c>
      <c r="M229" s="0" t="str">
        <f aca="false">"-157.2"</f>
        <v>-157.2</v>
      </c>
    </row>
    <row r="230" customFormat="false" ht="12.8" hidden="false" customHeight="false" outlineLevel="0" collapsed="false">
      <c r="A230" s="0" t="s">
        <v>8</v>
      </c>
      <c r="B230" s="0" t="s">
        <v>9</v>
      </c>
      <c r="C230" s="0" t="str">
        <f aca="false">"134-145"</f>
        <v>134-145</v>
      </c>
      <c r="D230" s="0" t="s">
        <v>9</v>
      </c>
      <c r="E230" s="0" t="str">
        <f aca="false">"229-240"</f>
        <v>229-240</v>
      </c>
      <c r="F230" s="0" t="s">
        <v>249</v>
      </c>
      <c r="G230" s="0" t="s">
        <v>13</v>
      </c>
      <c r="H230" s="0" t="str">
        <f aca="false">"42-53"</f>
        <v>42-53</v>
      </c>
      <c r="I230" s="0" t="s">
        <v>13</v>
      </c>
      <c r="J230" s="0" t="str">
        <f aca="false">"90-101"</f>
        <v>90-101</v>
      </c>
      <c r="K230" s="0" t="str">
        <f aca="false">"0.89"</f>
        <v>0.89</v>
      </c>
      <c r="L230" s="0" t="str">
        <f aca="false">"8.95"</f>
        <v>8.95</v>
      </c>
      <c r="M230" s="0" t="str">
        <f aca="false">"-157.6"</f>
        <v>-157.6</v>
      </c>
    </row>
    <row r="231" customFormat="false" ht="12.8" hidden="false" customHeight="false" outlineLevel="0" collapsed="false">
      <c r="A231" s="0" t="s">
        <v>8</v>
      </c>
      <c r="B231" s="0" t="s">
        <v>9</v>
      </c>
      <c r="C231" s="0" t="str">
        <f aca="false">"134-145"</f>
        <v>134-145</v>
      </c>
      <c r="D231" s="0" t="s">
        <v>9</v>
      </c>
      <c r="E231" s="0" t="str">
        <f aca="false">"229-240"</f>
        <v>229-240</v>
      </c>
      <c r="F231" s="0" t="s">
        <v>250</v>
      </c>
      <c r="G231" s="0" t="s">
        <v>9</v>
      </c>
      <c r="H231" s="0" t="str">
        <f aca="false">"135-146"</f>
        <v>135-146</v>
      </c>
      <c r="I231" s="0" t="s">
        <v>9</v>
      </c>
      <c r="J231" s="0" t="str">
        <f aca="false">"63-74"</f>
        <v>63-74</v>
      </c>
      <c r="K231" s="0" t="str">
        <f aca="false">"0.98"</f>
        <v>0.98</v>
      </c>
      <c r="L231" s="0" t="str">
        <f aca="false">"9.72"</f>
        <v>9.72</v>
      </c>
      <c r="M231" s="0" t="str">
        <f aca="false">"-161.7"</f>
        <v>-161.7</v>
      </c>
    </row>
    <row r="232" customFormat="false" ht="12.8" hidden="false" customHeight="false" outlineLevel="0" collapsed="false">
      <c r="A232" s="0" t="s">
        <v>8</v>
      </c>
      <c r="B232" s="0" t="s">
        <v>9</v>
      </c>
      <c r="C232" s="0" t="str">
        <f aca="false">"134-145"</f>
        <v>134-145</v>
      </c>
      <c r="D232" s="0" t="s">
        <v>9</v>
      </c>
      <c r="E232" s="0" t="str">
        <f aca="false">"229-240"</f>
        <v>229-240</v>
      </c>
      <c r="F232" s="0" t="s">
        <v>251</v>
      </c>
      <c r="G232" s="0" t="s">
        <v>9</v>
      </c>
      <c r="H232" s="0" t="str">
        <f aca="false">"119-130"</f>
        <v>119-130</v>
      </c>
      <c r="I232" s="0" t="s">
        <v>9</v>
      </c>
      <c r="J232" s="0" t="str">
        <f aca="false">"157-168"</f>
        <v>157-168</v>
      </c>
      <c r="K232" s="0" t="str">
        <f aca="false">"1.13"</f>
        <v>1.13</v>
      </c>
      <c r="L232" s="0" t="str">
        <f aca="false">"8.86"</f>
        <v>8.86</v>
      </c>
      <c r="M232" s="0" t="str">
        <f aca="false">"-162.2"</f>
        <v>-162.2</v>
      </c>
    </row>
    <row r="233" customFormat="false" ht="12.8" hidden="false" customHeight="false" outlineLevel="0" collapsed="false">
      <c r="A233" s="0" t="s">
        <v>8</v>
      </c>
      <c r="B233" s="0" t="s">
        <v>9</v>
      </c>
      <c r="C233" s="0" t="str">
        <f aca="false">"134-145"</f>
        <v>134-145</v>
      </c>
      <c r="D233" s="0" t="s">
        <v>9</v>
      </c>
      <c r="E233" s="0" t="str">
        <f aca="false">"229-240"</f>
        <v>229-240</v>
      </c>
      <c r="F233" s="0" t="s">
        <v>252</v>
      </c>
      <c r="G233" s="0" t="s">
        <v>13</v>
      </c>
      <c r="H233" s="0" t="str">
        <f aca="false">"91-102"</f>
        <v>91-102</v>
      </c>
      <c r="I233" s="0" t="s">
        <v>13</v>
      </c>
      <c r="J233" s="0" t="str">
        <f aca="false">"59-70"</f>
        <v>59-70</v>
      </c>
      <c r="K233" s="0" t="str">
        <f aca="false">"0.83"</f>
        <v>0.83</v>
      </c>
      <c r="L233" s="0" t="str">
        <f aca="false">"9.27"</f>
        <v>9.27</v>
      </c>
      <c r="M233" s="0" t="str">
        <f aca="false">"-151.0"</f>
        <v>-151.0</v>
      </c>
    </row>
    <row r="234" customFormat="false" ht="12.8" hidden="false" customHeight="false" outlineLevel="0" collapsed="false">
      <c r="A234" s="0" t="s">
        <v>8</v>
      </c>
      <c r="B234" s="0" t="s">
        <v>9</v>
      </c>
      <c r="C234" s="0" t="str">
        <f aca="false">"137-148"</f>
        <v>137-148</v>
      </c>
      <c r="D234" s="0" t="s">
        <v>9</v>
      </c>
      <c r="E234" s="0" t="str">
        <f aca="false">"226-237"</f>
        <v>226-237</v>
      </c>
      <c r="F234" s="0" t="s">
        <v>253</v>
      </c>
      <c r="G234" s="0" t="s">
        <v>9</v>
      </c>
      <c r="H234" s="0" t="str">
        <f aca="false">"105-116"</f>
        <v>105-116</v>
      </c>
      <c r="I234" s="0" t="s">
        <v>9</v>
      </c>
      <c r="J234" s="0" t="str">
        <f aca="false">"133-144"</f>
        <v>133-144</v>
      </c>
      <c r="K234" s="0" t="str">
        <f aca="false">"1.13"</f>
        <v>1.13</v>
      </c>
      <c r="L234" s="0" t="str">
        <f aca="false">"9.05"</f>
        <v>9.05</v>
      </c>
      <c r="M234" s="0" t="str">
        <f aca="false">"-144.4"</f>
        <v>-144.4</v>
      </c>
    </row>
    <row r="235" customFormat="false" ht="12.8" hidden="false" customHeight="false" outlineLevel="0" collapsed="false">
      <c r="A235" s="0" t="s">
        <v>8</v>
      </c>
      <c r="B235" s="0" t="s">
        <v>9</v>
      </c>
      <c r="C235" s="0" t="str">
        <f aca="false">"132-143"</f>
        <v>132-143</v>
      </c>
      <c r="D235" s="0" t="s">
        <v>9</v>
      </c>
      <c r="E235" s="0" t="str">
        <f aca="false">"229-240"</f>
        <v>229-240</v>
      </c>
      <c r="F235" s="0" t="s">
        <v>254</v>
      </c>
      <c r="G235" s="0" t="s">
        <v>13</v>
      </c>
      <c r="H235" s="0" t="str">
        <f aca="false">"149-160"</f>
        <v>149-160</v>
      </c>
      <c r="I235" s="0" t="s">
        <v>13</v>
      </c>
      <c r="J235" s="0" t="str">
        <f aca="false">"126-137"</f>
        <v>126-137</v>
      </c>
      <c r="K235" s="0" t="str">
        <f aca="false">"0.90"</f>
        <v>0.90</v>
      </c>
      <c r="L235" s="0" t="str">
        <f aca="false">"8.59"</f>
        <v>8.59</v>
      </c>
      <c r="M235" s="0" t="str">
        <f aca="false">"-152.5"</f>
        <v>-152.5</v>
      </c>
    </row>
    <row r="236" customFormat="false" ht="12.8" hidden="false" customHeight="false" outlineLevel="0" collapsed="false">
      <c r="A236" s="0" t="s">
        <v>8</v>
      </c>
      <c r="B236" s="0" t="s">
        <v>9</v>
      </c>
      <c r="C236" s="0" t="str">
        <f aca="false">"134-145"</f>
        <v>134-145</v>
      </c>
      <c r="D236" s="0" t="s">
        <v>9</v>
      </c>
      <c r="E236" s="0" t="str">
        <f aca="false">"226-237"</f>
        <v>226-237</v>
      </c>
      <c r="F236" s="0" t="s">
        <v>255</v>
      </c>
      <c r="G236" s="0" t="s">
        <v>9</v>
      </c>
      <c r="H236" s="0" t="str">
        <f aca="false">"239-250"</f>
        <v>239-250</v>
      </c>
      <c r="I236" s="0" t="s">
        <v>9</v>
      </c>
      <c r="J236" s="0" t="str">
        <f aca="false">"272-283"</f>
        <v>272-283</v>
      </c>
      <c r="K236" s="0" t="str">
        <f aca="false">"0.98"</f>
        <v>0.98</v>
      </c>
      <c r="L236" s="0" t="str">
        <f aca="false">"9.33"</f>
        <v>9.33</v>
      </c>
      <c r="M236" s="0" t="str">
        <f aca="false">"-153.2"</f>
        <v>-153.2</v>
      </c>
    </row>
    <row r="237" customFormat="false" ht="12.8" hidden="false" customHeight="false" outlineLevel="0" collapsed="false">
      <c r="A237" s="0" t="s">
        <v>8</v>
      </c>
      <c r="B237" s="0" t="s">
        <v>9</v>
      </c>
      <c r="C237" s="0" t="str">
        <f aca="false">"133-144"</f>
        <v>133-144</v>
      </c>
      <c r="D237" s="0" t="s">
        <v>9</v>
      </c>
      <c r="E237" s="0" t="str">
        <f aca="false">"230-241"</f>
        <v>230-241</v>
      </c>
      <c r="F237" s="0" t="s">
        <v>256</v>
      </c>
      <c r="G237" s="0" t="s">
        <v>13</v>
      </c>
      <c r="H237" s="0" t="str">
        <f aca="false">"35-46"</f>
        <v>35-46</v>
      </c>
      <c r="I237" s="0" t="s">
        <v>13</v>
      </c>
      <c r="J237" s="0" t="str">
        <f aca="false">"49-60"</f>
        <v>49-60</v>
      </c>
      <c r="K237" s="0" t="str">
        <f aca="false">"0.97"</f>
        <v>0.97</v>
      </c>
      <c r="L237" s="0" t="str">
        <f aca="false">"8.93"</f>
        <v>8.93</v>
      </c>
      <c r="M237" s="0" t="str">
        <f aca="false">"-150.5"</f>
        <v>-150.5</v>
      </c>
    </row>
    <row r="238" customFormat="false" ht="12.8" hidden="false" customHeight="false" outlineLevel="0" collapsed="false">
      <c r="A238" s="0" t="s">
        <v>8</v>
      </c>
      <c r="B238" s="0" t="s">
        <v>9</v>
      </c>
      <c r="C238" s="0" t="str">
        <f aca="false">"134-145"</f>
        <v>134-145</v>
      </c>
      <c r="D238" s="0" t="s">
        <v>9</v>
      </c>
      <c r="E238" s="0" t="str">
        <f aca="false">"226-237"</f>
        <v>226-237</v>
      </c>
      <c r="F238" s="0" t="s">
        <v>257</v>
      </c>
      <c r="G238" s="0" t="s">
        <v>120</v>
      </c>
      <c r="H238" s="0" t="str">
        <f aca="false">"178-189"</f>
        <v>178-189</v>
      </c>
      <c r="I238" s="0" t="s">
        <v>120</v>
      </c>
      <c r="J238" s="0" t="str">
        <f aca="false">"199-210"</f>
        <v>199-210</v>
      </c>
      <c r="K238" s="0" t="str">
        <f aca="false">"0.97"</f>
        <v>0.97</v>
      </c>
      <c r="L238" s="0" t="str">
        <f aca="false">"10.62"</f>
        <v>10.62</v>
      </c>
      <c r="M238" s="0" t="str">
        <f aca="false">"-148.2"</f>
        <v>-148.2</v>
      </c>
    </row>
    <row r="239" customFormat="false" ht="12.8" hidden="false" customHeight="false" outlineLevel="0" collapsed="false">
      <c r="A239" s="0" t="s">
        <v>8</v>
      </c>
      <c r="B239" s="0" t="s">
        <v>9</v>
      </c>
      <c r="C239" s="0" t="str">
        <f aca="false">"134-145"</f>
        <v>134-145</v>
      </c>
      <c r="D239" s="0" t="s">
        <v>9</v>
      </c>
      <c r="E239" s="0" t="str">
        <f aca="false">"226-237"</f>
        <v>226-237</v>
      </c>
      <c r="F239" s="0" t="s">
        <v>258</v>
      </c>
      <c r="G239" s="0" t="s">
        <v>9</v>
      </c>
      <c r="H239" s="0" t="str">
        <f aca="false">"22-33"</f>
        <v>22-33</v>
      </c>
      <c r="I239" s="0" t="s">
        <v>9</v>
      </c>
      <c r="J239" s="0" t="str">
        <f aca="false">"472-483"</f>
        <v>472-483</v>
      </c>
      <c r="K239" s="0" t="str">
        <f aca="false">"1.11"</f>
        <v>1.11</v>
      </c>
      <c r="L239" s="0" t="str">
        <f aca="false">"9.43"</f>
        <v>9.43</v>
      </c>
      <c r="M239" s="0" t="str">
        <f aca="false">"-138.3"</f>
        <v>-138.3</v>
      </c>
    </row>
    <row r="240" customFormat="false" ht="12.8" hidden="false" customHeight="false" outlineLevel="0" collapsed="false">
      <c r="A240" s="0" t="s">
        <v>8</v>
      </c>
      <c r="B240" s="0" t="s">
        <v>9</v>
      </c>
      <c r="C240" s="0" t="str">
        <f aca="false">"134-145"</f>
        <v>134-145</v>
      </c>
      <c r="D240" s="0" t="s">
        <v>9</v>
      </c>
      <c r="E240" s="0" t="str">
        <f aca="false">"229-240"</f>
        <v>229-240</v>
      </c>
      <c r="F240" s="0" t="s">
        <v>259</v>
      </c>
      <c r="G240" s="0" t="s">
        <v>13</v>
      </c>
      <c r="H240" s="0" t="str">
        <f aca="false">"174-185"</f>
        <v>174-185</v>
      </c>
      <c r="I240" s="0" t="s">
        <v>13</v>
      </c>
      <c r="J240" s="0" t="str">
        <f aca="false">"6-17"</f>
        <v>6-17</v>
      </c>
      <c r="K240" s="0" t="str">
        <f aca="false">"0.79"</f>
        <v>0.79</v>
      </c>
      <c r="L240" s="0" t="str">
        <f aca="false">"10.02"</f>
        <v>10.02</v>
      </c>
      <c r="M240" s="0" t="str">
        <f aca="false">"-150.4"</f>
        <v>-150.4</v>
      </c>
    </row>
    <row r="241" customFormat="false" ht="12.8" hidden="false" customHeight="false" outlineLevel="0" collapsed="false">
      <c r="A241" s="0" t="s">
        <v>8</v>
      </c>
      <c r="B241" s="0" t="s">
        <v>9</v>
      </c>
      <c r="C241" s="0" t="str">
        <f aca="false">"137-148"</f>
        <v>137-148</v>
      </c>
      <c r="D241" s="0" t="s">
        <v>9</v>
      </c>
      <c r="E241" s="0" t="str">
        <f aca="false">"226-237"</f>
        <v>226-237</v>
      </c>
      <c r="F241" s="0" t="s">
        <v>260</v>
      </c>
      <c r="G241" s="0" t="s">
        <v>9</v>
      </c>
      <c r="H241" s="0" t="str">
        <f aca="false">"923-934"</f>
        <v>923-934</v>
      </c>
      <c r="I241" s="0" t="s">
        <v>13</v>
      </c>
      <c r="J241" s="0" t="str">
        <f aca="false">"957-968"</f>
        <v>957-968</v>
      </c>
      <c r="K241" s="0" t="str">
        <f aca="false">"0.84"</f>
        <v>0.84</v>
      </c>
      <c r="L241" s="0" t="str">
        <f aca="false">"8.94"</f>
        <v>8.94</v>
      </c>
      <c r="M241" s="0" t="str">
        <f aca="false">"-165.6"</f>
        <v>-165.6</v>
      </c>
    </row>
    <row r="242" customFormat="false" ht="12.8" hidden="false" customHeight="false" outlineLevel="0" collapsed="false">
      <c r="A242" s="0" t="s">
        <v>8</v>
      </c>
      <c r="B242" s="0" t="s">
        <v>9</v>
      </c>
      <c r="C242" s="0" t="str">
        <f aca="false">"134-145"</f>
        <v>134-145</v>
      </c>
      <c r="D242" s="0" t="s">
        <v>9</v>
      </c>
      <c r="E242" s="0" t="str">
        <f aca="false">"229-240"</f>
        <v>229-240</v>
      </c>
      <c r="F242" s="0" t="s">
        <v>261</v>
      </c>
      <c r="G242" s="0" t="s">
        <v>9</v>
      </c>
      <c r="H242" s="0" t="str">
        <f aca="false">"123-134"</f>
        <v>123-134</v>
      </c>
      <c r="I242" s="0" t="s">
        <v>9</v>
      </c>
      <c r="J242" s="0" t="str">
        <f aca="false">"172-183"</f>
        <v>172-183</v>
      </c>
      <c r="K242" s="0" t="str">
        <f aca="false">"0.86"</f>
        <v>0.86</v>
      </c>
      <c r="L242" s="0" t="str">
        <f aca="false">"8.69"</f>
        <v>8.69</v>
      </c>
      <c r="M242" s="0" t="str">
        <f aca="false">"-158.2"</f>
        <v>-158.2</v>
      </c>
    </row>
    <row r="243" customFormat="false" ht="12.8" hidden="false" customHeight="false" outlineLevel="0" collapsed="false">
      <c r="A243" s="0" t="s">
        <v>8</v>
      </c>
      <c r="B243" s="0" t="s">
        <v>9</v>
      </c>
      <c r="C243" s="0" t="str">
        <f aca="false">"131-142"</f>
        <v>131-142</v>
      </c>
      <c r="D243" s="0" t="s">
        <v>9</v>
      </c>
      <c r="E243" s="0" t="str">
        <f aca="false">"230-241"</f>
        <v>230-241</v>
      </c>
      <c r="F243" s="0" t="s">
        <v>262</v>
      </c>
      <c r="G243" s="0" t="s">
        <v>9</v>
      </c>
      <c r="H243" s="0" t="str">
        <f aca="false">"163-174"</f>
        <v>163-174</v>
      </c>
      <c r="I243" s="0" t="s">
        <v>9</v>
      </c>
      <c r="J243" s="0" t="str">
        <f aca="false">"75-86"</f>
        <v>75-86</v>
      </c>
      <c r="K243" s="0" t="str">
        <f aca="false">"1.05"</f>
        <v>1.05</v>
      </c>
      <c r="L243" s="0" t="str">
        <f aca="false">"9.22"</f>
        <v>9.22</v>
      </c>
      <c r="M243" s="0" t="str">
        <f aca="false">"-152.9"</f>
        <v>-152.9</v>
      </c>
    </row>
    <row r="244" customFormat="false" ht="12.8" hidden="false" customHeight="false" outlineLevel="0" collapsed="false">
      <c r="A244" s="0" t="s">
        <v>8</v>
      </c>
      <c r="B244" s="0" t="s">
        <v>9</v>
      </c>
      <c r="C244" s="0" t="str">
        <f aca="false">"131-142"</f>
        <v>131-142</v>
      </c>
      <c r="D244" s="0" t="s">
        <v>9</v>
      </c>
      <c r="E244" s="0" t="str">
        <f aca="false">"232-243"</f>
        <v>232-243</v>
      </c>
      <c r="F244" s="0" t="s">
        <v>263</v>
      </c>
      <c r="G244" s="0" t="s">
        <v>9</v>
      </c>
      <c r="H244" s="0" t="str">
        <f aca="false">"25-36"</f>
        <v>25-36</v>
      </c>
      <c r="I244" s="0" t="s">
        <v>9</v>
      </c>
      <c r="J244" s="0" t="str">
        <f aca="false">"48-59"</f>
        <v>48-59</v>
      </c>
      <c r="K244" s="0" t="str">
        <f aca="false">"0.89"</f>
        <v>0.89</v>
      </c>
      <c r="L244" s="0" t="str">
        <f aca="false">"9.48"</f>
        <v>9.48</v>
      </c>
      <c r="M244" s="0" t="str">
        <f aca="false">"-156.8"</f>
        <v>-156.8</v>
      </c>
    </row>
    <row r="245" customFormat="false" ht="12.8" hidden="false" customHeight="false" outlineLevel="0" collapsed="false">
      <c r="A245" s="0" t="s">
        <v>8</v>
      </c>
      <c r="B245" s="0" t="s">
        <v>9</v>
      </c>
      <c r="C245" s="0" t="str">
        <f aca="false">"134-145"</f>
        <v>134-145</v>
      </c>
      <c r="D245" s="0" t="s">
        <v>9</v>
      </c>
      <c r="E245" s="0" t="str">
        <f aca="false">"228-239"</f>
        <v>228-239</v>
      </c>
      <c r="F245" s="0" t="s">
        <v>264</v>
      </c>
      <c r="G245" s="0" t="s">
        <v>9</v>
      </c>
      <c r="H245" s="0" t="str">
        <f aca="false">"30-41"</f>
        <v>30-41</v>
      </c>
      <c r="I245" s="0" t="s">
        <v>9</v>
      </c>
      <c r="J245" s="0" t="str">
        <f aca="false">"60-71"</f>
        <v>60-71</v>
      </c>
      <c r="K245" s="0" t="str">
        <f aca="false">"1.03"</f>
        <v>1.03</v>
      </c>
      <c r="L245" s="0" t="str">
        <f aca="false">"8.81"</f>
        <v>8.81</v>
      </c>
      <c r="M245" s="0" t="str">
        <f aca="false">"-155.2"</f>
        <v>-155.2</v>
      </c>
    </row>
    <row r="246" customFormat="false" ht="12.8" hidden="false" customHeight="false" outlineLevel="0" collapsed="false">
      <c r="A246" s="0" t="s">
        <v>8</v>
      </c>
      <c r="B246" s="0" t="s">
        <v>9</v>
      </c>
      <c r="C246" s="0" t="str">
        <f aca="false">"134-145"</f>
        <v>134-145</v>
      </c>
      <c r="D246" s="0" t="s">
        <v>9</v>
      </c>
      <c r="E246" s="0" t="str">
        <f aca="false">"229-240"</f>
        <v>229-240</v>
      </c>
      <c r="F246" s="0" t="s">
        <v>265</v>
      </c>
      <c r="G246" s="0" t="s">
        <v>9</v>
      </c>
      <c r="H246" s="0" t="str">
        <f aca="false">"107-118"</f>
        <v>107-118</v>
      </c>
      <c r="I246" s="0" t="s">
        <v>9</v>
      </c>
      <c r="J246" s="0" t="str">
        <f aca="false">"133-144"</f>
        <v>133-144</v>
      </c>
      <c r="K246" s="0" t="str">
        <f aca="false">"0.87"</f>
        <v>0.87</v>
      </c>
      <c r="L246" s="0" t="str">
        <f aca="false">"8.60"</f>
        <v>8.60</v>
      </c>
      <c r="M246" s="0" t="str">
        <f aca="false">"-156.4"</f>
        <v>-156.4</v>
      </c>
    </row>
    <row r="247" customFormat="false" ht="12.8" hidden="false" customHeight="false" outlineLevel="0" collapsed="false">
      <c r="A247" s="0" t="s">
        <v>8</v>
      </c>
      <c r="B247" s="0" t="s">
        <v>9</v>
      </c>
      <c r="C247" s="0" t="str">
        <f aca="false">"134-145"</f>
        <v>134-145</v>
      </c>
      <c r="D247" s="0" t="s">
        <v>9</v>
      </c>
      <c r="E247" s="0" t="str">
        <f aca="false">"226-237"</f>
        <v>226-237</v>
      </c>
      <c r="F247" s="0" t="s">
        <v>266</v>
      </c>
      <c r="G247" s="0" t="s">
        <v>13</v>
      </c>
      <c r="H247" s="0" t="str">
        <f aca="false">"336-347"</f>
        <v>336-347</v>
      </c>
      <c r="I247" s="0" t="s">
        <v>13</v>
      </c>
      <c r="J247" s="0" t="str">
        <f aca="false">"365-376"</f>
        <v>365-376</v>
      </c>
      <c r="K247" s="0" t="str">
        <f aca="false">"1.02"</f>
        <v>1.02</v>
      </c>
      <c r="L247" s="0" t="str">
        <f aca="false">"9.40"</f>
        <v>9.40</v>
      </c>
      <c r="M247" s="0" t="str">
        <f aca="false">"-160.5"</f>
        <v>-160.5</v>
      </c>
    </row>
    <row r="248" customFormat="false" ht="12.8" hidden="false" customHeight="false" outlineLevel="0" collapsed="false">
      <c r="A248" s="0" t="s">
        <v>8</v>
      </c>
      <c r="B248" s="0" t="s">
        <v>9</v>
      </c>
      <c r="C248" s="0" t="str">
        <f aca="false">"131-142"</f>
        <v>131-142</v>
      </c>
      <c r="D248" s="0" t="s">
        <v>9</v>
      </c>
      <c r="E248" s="0" t="str">
        <f aca="false">"233-244"</f>
        <v>233-244</v>
      </c>
      <c r="F248" s="0" t="s">
        <v>267</v>
      </c>
      <c r="G248" s="0" t="s">
        <v>9</v>
      </c>
      <c r="H248" s="0" t="str">
        <f aca="false">"115-126"</f>
        <v>115-126</v>
      </c>
      <c r="I248" s="0" t="s">
        <v>9</v>
      </c>
      <c r="J248" s="0" t="str">
        <f aca="false">"106-117"</f>
        <v>106-117</v>
      </c>
      <c r="K248" s="0" t="str">
        <f aca="false">"0.74"</f>
        <v>0.74</v>
      </c>
      <c r="L248" s="0" t="str">
        <f aca="false">"10.85"</f>
        <v>10.85</v>
      </c>
      <c r="M248" s="0" t="str">
        <f aca="false">"-157.4"</f>
        <v>-157.4</v>
      </c>
    </row>
    <row r="249" customFormat="false" ht="12.8" hidden="false" customHeight="false" outlineLevel="0" collapsed="false">
      <c r="A249" s="0" t="s">
        <v>8</v>
      </c>
      <c r="B249" s="0" t="s">
        <v>9</v>
      </c>
      <c r="C249" s="0" t="str">
        <f aca="false">"137-148"</f>
        <v>137-148</v>
      </c>
      <c r="D249" s="0" t="s">
        <v>9</v>
      </c>
      <c r="E249" s="0" t="str">
        <f aca="false">"226-237"</f>
        <v>226-237</v>
      </c>
      <c r="F249" s="0" t="s">
        <v>268</v>
      </c>
      <c r="G249" s="0" t="s">
        <v>9</v>
      </c>
      <c r="H249" s="0" t="str">
        <f aca="false">"129-140"</f>
        <v>129-140</v>
      </c>
      <c r="I249" s="0" t="s">
        <v>9</v>
      </c>
      <c r="J249" s="0" t="str">
        <f aca="false">"91-102"</f>
        <v>91-102</v>
      </c>
      <c r="K249" s="0" t="str">
        <f aca="false">"0.91"</f>
        <v>0.91</v>
      </c>
      <c r="L249" s="0" t="str">
        <f aca="false">"8.75"</f>
        <v>8.75</v>
      </c>
      <c r="M249" s="0" t="str">
        <f aca="false">"-162.8"</f>
        <v>-162.8</v>
      </c>
    </row>
    <row r="250" customFormat="false" ht="12.8" hidden="false" customHeight="false" outlineLevel="0" collapsed="false">
      <c r="A250" s="0" t="s">
        <v>8</v>
      </c>
      <c r="B250" s="0" t="s">
        <v>9</v>
      </c>
      <c r="C250" s="0" t="str">
        <f aca="false">"134-145"</f>
        <v>134-145</v>
      </c>
      <c r="D250" s="0" t="s">
        <v>9</v>
      </c>
      <c r="E250" s="0" t="str">
        <f aca="false">"229-240"</f>
        <v>229-240</v>
      </c>
      <c r="F250" s="0" t="s">
        <v>269</v>
      </c>
      <c r="G250" s="0" t="s">
        <v>9</v>
      </c>
      <c r="H250" s="0" t="str">
        <f aca="false">"71-82"</f>
        <v>71-82</v>
      </c>
      <c r="I250" s="0" t="s">
        <v>9</v>
      </c>
      <c r="J250" s="0" t="str">
        <f aca="false">"58-69"</f>
        <v>58-69</v>
      </c>
      <c r="K250" s="0" t="str">
        <f aca="false">"0.92"</f>
        <v>0.92</v>
      </c>
      <c r="L250" s="0" t="str">
        <f aca="false">"8.56"</f>
        <v>8.56</v>
      </c>
      <c r="M250" s="0" t="str">
        <f aca="false">"-145.9"</f>
        <v>-145.9</v>
      </c>
    </row>
    <row r="251" customFormat="false" ht="12.8" hidden="false" customHeight="false" outlineLevel="0" collapsed="false">
      <c r="A251" s="0" t="s">
        <v>8</v>
      </c>
      <c r="B251" s="0" t="s">
        <v>9</v>
      </c>
      <c r="C251" s="0" t="str">
        <f aca="false">"135-146"</f>
        <v>135-146</v>
      </c>
      <c r="D251" s="0" t="s">
        <v>9</v>
      </c>
      <c r="E251" s="0" t="str">
        <f aca="false">"226-237"</f>
        <v>226-237</v>
      </c>
      <c r="F251" s="0" t="s">
        <v>270</v>
      </c>
      <c r="G251" s="0" t="s">
        <v>9</v>
      </c>
      <c r="H251" s="0" t="str">
        <f aca="false">"91-102"</f>
        <v>91-102</v>
      </c>
      <c r="I251" s="0" t="s">
        <v>9</v>
      </c>
      <c r="J251" s="0" t="str">
        <f aca="false">"67-78"</f>
        <v>67-78</v>
      </c>
      <c r="K251" s="0" t="str">
        <f aca="false">"0.94"</f>
        <v>0.94</v>
      </c>
      <c r="L251" s="0" t="str">
        <f aca="false">"8.77"</f>
        <v>8.77</v>
      </c>
      <c r="M251" s="0" t="str">
        <f aca="false">"-154.6"</f>
        <v>-154.6</v>
      </c>
    </row>
    <row r="252" customFormat="false" ht="12.8" hidden="false" customHeight="false" outlineLevel="0" collapsed="false">
      <c r="A252" s="0" t="s">
        <v>8</v>
      </c>
      <c r="B252" s="0" t="s">
        <v>9</v>
      </c>
      <c r="C252" s="0" t="str">
        <f aca="false">"137-148"</f>
        <v>137-148</v>
      </c>
      <c r="D252" s="0" t="s">
        <v>9</v>
      </c>
      <c r="E252" s="0" t="str">
        <f aca="false">"226-237"</f>
        <v>226-237</v>
      </c>
      <c r="F252" s="0" t="s">
        <v>271</v>
      </c>
      <c r="G252" s="0" t="s">
        <v>9</v>
      </c>
      <c r="H252" s="0" t="str">
        <f aca="false">"584-595"</f>
        <v>584-595</v>
      </c>
      <c r="I252" s="0" t="s">
        <v>9</v>
      </c>
      <c r="J252" s="0" t="str">
        <f aca="false">"558-569"</f>
        <v>558-569</v>
      </c>
      <c r="K252" s="0" t="str">
        <f aca="false">"0.97"</f>
        <v>0.97</v>
      </c>
      <c r="L252" s="0" t="str">
        <f aca="false">"9.11"</f>
        <v>9.11</v>
      </c>
      <c r="M252" s="0" t="str">
        <f aca="false">"-163.3"</f>
        <v>-163.3</v>
      </c>
    </row>
    <row r="253" customFormat="false" ht="12.8" hidden="false" customHeight="false" outlineLevel="0" collapsed="false">
      <c r="A253" s="0" t="s">
        <v>8</v>
      </c>
      <c r="B253" s="0" t="s">
        <v>9</v>
      </c>
      <c r="C253" s="0" t="str">
        <f aca="false">"134-145"</f>
        <v>134-145</v>
      </c>
      <c r="D253" s="0" t="s">
        <v>9</v>
      </c>
      <c r="E253" s="0" t="str">
        <f aca="false">"229-240"</f>
        <v>229-240</v>
      </c>
      <c r="F253" s="0" t="s">
        <v>272</v>
      </c>
      <c r="G253" s="0" t="s">
        <v>9</v>
      </c>
      <c r="H253" s="0" t="str">
        <f aca="false">"341-352"</f>
        <v>341-352</v>
      </c>
      <c r="I253" s="0" t="s">
        <v>9</v>
      </c>
      <c r="J253" s="0" t="str">
        <f aca="false">"274-285"</f>
        <v>274-285</v>
      </c>
      <c r="K253" s="0" t="str">
        <f aca="false">"1.15"</f>
        <v>1.15</v>
      </c>
      <c r="L253" s="0" t="str">
        <f aca="false">"9.57"</f>
        <v>9.57</v>
      </c>
      <c r="M253" s="0" t="str">
        <f aca="false">"-156.0"</f>
        <v>-156.0</v>
      </c>
    </row>
    <row r="254" customFormat="false" ht="12.8" hidden="false" customHeight="false" outlineLevel="0" collapsed="false">
      <c r="A254" s="0" t="s">
        <v>8</v>
      </c>
      <c r="B254" s="0" t="s">
        <v>9</v>
      </c>
      <c r="C254" s="0" t="str">
        <f aca="false">"134-145"</f>
        <v>134-145</v>
      </c>
      <c r="D254" s="0" t="s">
        <v>9</v>
      </c>
      <c r="E254" s="0" t="str">
        <f aca="false">"229-240"</f>
        <v>229-240</v>
      </c>
      <c r="F254" s="0" t="s">
        <v>273</v>
      </c>
      <c r="G254" s="0" t="s">
        <v>9</v>
      </c>
      <c r="H254" s="0" t="str">
        <f aca="false">"16-27"</f>
        <v>16-27</v>
      </c>
      <c r="I254" s="0" t="s">
        <v>9</v>
      </c>
      <c r="J254" s="0" t="str">
        <f aca="false">"56-67"</f>
        <v>56-67</v>
      </c>
      <c r="K254" s="0" t="str">
        <f aca="false">"0.54"</f>
        <v>0.54</v>
      </c>
      <c r="L254" s="0" t="str">
        <f aca="false">"8.89"</f>
        <v>8.89</v>
      </c>
      <c r="M254" s="0" t="str">
        <f aca="false">"-157.2"</f>
        <v>-157.2</v>
      </c>
    </row>
    <row r="255" customFormat="false" ht="12.8" hidden="false" customHeight="false" outlineLevel="0" collapsed="false">
      <c r="A255" s="0" t="s">
        <v>8</v>
      </c>
      <c r="B255" s="0" t="s">
        <v>9</v>
      </c>
      <c r="C255" s="0" t="str">
        <f aca="false">"134-145"</f>
        <v>134-145</v>
      </c>
      <c r="D255" s="0" t="s">
        <v>9</v>
      </c>
      <c r="E255" s="0" t="str">
        <f aca="false">"229-240"</f>
        <v>229-240</v>
      </c>
      <c r="F255" s="0" t="s">
        <v>274</v>
      </c>
      <c r="G255" s="0" t="s">
        <v>13</v>
      </c>
      <c r="H255" s="0" t="str">
        <f aca="false">"214-225"</f>
        <v>214-225</v>
      </c>
      <c r="I255" s="0" t="s">
        <v>13</v>
      </c>
      <c r="J255" s="0" t="str">
        <f aca="false">"119-130"</f>
        <v>119-130</v>
      </c>
      <c r="K255" s="0" t="str">
        <f aca="false">"0.72"</f>
        <v>0.72</v>
      </c>
      <c r="L255" s="0" t="str">
        <f aca="false">"9.29"</f>
        <v>9.29</v>
      </c>
      <c r="M255" s="0" t="str">
        <f aca="false">"-159.8"</f>
        <v>-159.8</v>
      </c>
    </row>
    <row r="256" customFormat="false" ht="12.8" hidden="false" customHeight="false" outlineLevel="0" collapsed="false">
      <c r="A256" s="0" t="s">
        <v>8</v>
      </c>
      <c r="B256" s="0" t="s">
        <v>9</v>
      </c>
      <c r="C256" s="0" t="str">
        <f aca="false">"131-142"</f>
        <v>131-142</v>
      </c>
      <c r="D256" s="0" t="s">
        <v>9</v>
      </c>
      <c r="E256" s="0" t="str">
        <f aca="false">"229-240"</f>
        <v>229-240</v>
      </c>
      <c r="F256" s="0" t="s">
        <v>275</v>
      </c>
      <c r="G256" s="0" t="s">
        <v>13</v>
      </c>
      <c r="H256" s="0" t="str">
        <f aca="false">"158-169"</f>
        <v>158-169</v>
      </c>
      <c r="I256" s="0" t="s">
        <v>13</v>
      </c>
      <c r="J256" s="0" t="str">
        <f aca="false">"202-213"</f>
        <v>202-213</v>
      </c>
      <c r="K256" s="0" t="str">
        <f aca="false">"0.65"</f>
        <v>0.65</v>
      </c>
      <c r="L256" s="0" t="str">
        <f aca="false">"9.34"</f>
        <v>9.34</v>
      </c>
      <c r="M256" s="0" t="str">
        <f aca="false">"-153.8"</f>
        <v>-153.8</v>
      </c>
    </row>
    <row r="257" customFormat="false" ht="12.8" hidden="false" customHeight="false" outlineLevel="0" collapsed="false">
      <c r="A257" s="0" t="s">
        <v>8</v>
      </c>
      <c r="B257" s="0" t="s">
        <v>9</v>
      </c>
      <c r="C257" s="0" t="str">
        <f aca="false">"131-142"</f>
        <v>131-142</v>
      </c>
      <c r="D257" s="0" t="s">
        <v>9</v>
      </c>
      <c r="E257" s="0" t="str">
        <f aca="false">"232-243"</f>
        <v>232-243</v>
      </c>
      <c r="F257" s="0" t="s">
        <v>276</v>
      </c>
      <c r="G257" s="0" t="s">
        <v>9</v>
      </c>
      <c r="H257" s="0" t="str">
        <f aca="false">"54-65"</f>
        <v>54-65</v>
      </c>
      <c r="I257" s="0" t="s">
        <v>9</v>
      </c>
      <c r="J257" s="0" t="str">
        <f aca="false">"31-42"</f>
        <v>31-42</v>
      </c>
      <c r="K257" s="0" t="str">
        <f aca="false">"0.82"</f>
        <v>0.82</v>
      </c>
      <c r="L257" s="0" t="str">
        <f aca="false">"8.71"</f>
        <v>8.71</v>
      </c>
      <c r="M257" s="0" t="str">
        <f aca="false">"-163.3"</f>
        <v>-163.3</v>
      </c>
    </row>
    <row r="258" customFormat="false" ht="12.8" hidden="false" customHeight="false" outlineLevel="0" collapsed="false">
      <c r="A258" s="0" t="s">
        <v>8</v>
      </c>
      <c r="B258" s="0" t="s">
        <v>9</v>
      </c>
      <c r="C258" s="0" t="str">
        <f aca="false">"137-148"</f>
        <v>137-148</v>
      </c>
      <c r="D258" s="0" t="s">
        <v>9</v>
      </c>
      <c r="E258" s="0" t="str">
        <f aca="false">"225-236"</f>
        <v>225-236</v>
      </c>
      <c r="F258" s="0" t="s">
        <v>277</v>
      </c>
      <c r="G258" s="0" t="s">
        <v>9</v>
      </c>
      <c r="H258" s="0" t="str">
        <f aca="false">"277-288"</f>
        <v>277-288</v>
      </c>
      <c r="I258" s="0" t="s">
        <v>9</v>
      </c>
      <c r="J258" s="0" t="str">
        <f aca="false">"297-308"</f>
        <v>297-308</v>
      </c>
      <c r="K258" s="0" t="str">
        <f aca="false">"0.83"</f>
        <v>0.83</v>
      </c>
      <c r="L258" s="0" t="str">
        <f aca="false">"8.84"</f>
        <v>8.84</v>
      </c>
      <c r="M258" s="0" t="str">
        <f aca="false">"-165.5"</f>
        <v>-165.5</v>
      </c>
    </row>
    <row r="259" customFormat="false" ht="12.8" hidden="false" customHeight="false" outlineLevel="0" collapsed="false">
      <c r="A259" s="0" t="s">
        <v>8</v>
      </c>
      <c r="B259" s="0" t="s">
        <v>9</v>
      </c>
      <c r="C259" s="0" t="str">
        <f aca="false">"134-145"</f>
        <v>134-145</v>
      </c>
      <c r="D259" s="0" t="s">
        <v>9</v>
      </c>
      <c r="E259" s="0" t="str">
        <f aca="false">"229-240"</f>
        <v>229-240</v>
      </c>
      <c r="F259" s="0" t="s">
        <v>278</v>
      </c>
      <c r="G259" s="0" t="s">
        <v>71</v>
      </c>
      <c r="H259" s="0" t="str">
        <f aca="false">"77-88"</f>
        <v>77-88</v>
      </c>
      <c r="I259" s="0" t="s">
        <v>71</v>
      </c>
      <c r="J259" s="0" t="str">
        <f aca="false">"96-107"</f>
        <v>96-107</v>
      </c>
      <c r="K259" s="0" t="str">
        <f aca="false">"0.76"</f>
        <v>0.76</v>
      </c>
      <c r="L259" s="0" t="str">
        <f aca="false">"8.81"</f>
        <v>8.81</v>
      </c>
      <c r="M259" s="0" t="str">
        <f aca="false">"-159.1"</f>
        <v>-159.1</v>
      </c>
    </row>
    <row r="260" customFormat="false" ht="12.8" hidden="false" customHeight="false" outlineLevel="0" collapsed="false">
      <c r="A260" s="0" t="s">
        <v>8</v>
      </c>
      <c r="B260" s="0" t="s">
        <v>9</v>
      </c>
      <c r="C260" s="0" t="str">
        <f aca="false">"134-145"</f>
        <v>134-145</v>
      </c>
      <c r="D260" s="0" t="s">
        <v>9</v>
      </c>
      <c r="E260" s="0" t="str">
        <f aca="false">"229-240"</f>
        <v>229-240</v>
      </c>
      <c r="F260" s="0" t="s">
        <v>279</v>
      </c>
      <c r="G260" s="0" t="s">
        <v>13</v>
      </c>
      <c r="H260" s="0" t="str">
        <f aca="false">"515-526"</f>
        <v>515-526</v>
      </c>
      <c r="I260" s="0" t="s">
        <v>13</v>
      </c>
      <c r="J260" s="0" t="str">
        <f aca="false">"490-501"</f>
        <v>490-501</v>
      </c>
      <c r="K260" s="0" t="str">
        <f aca="false">"0.87"</f>
        <v>0.87</v>
      </c>
      <c r="L260" s="0" t="str">
        <f aca="false">"8.89"</f>
        <v>8.89</v>
      </c>
      <c r="M260" s="0" t="str">
        <f aca="false">"-159.1"</f>
        <v>-159.1</v>
      </c>
    </row>
    <row r="261" customFormat="false" ht="12.8" hidden="false" customHeight="false" outlineLevel="0" collapsed="false">
      <c r="A261" s="0" t="s">
        <v>8</v>
      </c>
      <c r="B261" s="0" t="s">
        <v>9</v>
      </c>
      <c r="C261" s="0" t="str">
        <f aca="false">"134-145"</f>
        <v>134-145</v>
      </c>
      <c r="D261" s="0" t="s">
        <v>9</v>
      </c>
      <c r="E261" s="0" t="str">
        <f aca="false">"226-237"</f>
        <v>226-237</v>
      </c>
      <c r="F261" s="0" t="s">
        <v>280</v>
      </c>
      <c r="G261" s="0" t="s">
        <v>13</v>
      </c>
      <c r="H261" s="0" t="str">
        <f aca="false">"45-56"</f>
        <v>45-56</v>
      </c>
      <c r="I261" s="0" t="s">
        <v>13</v>
      </c>
      <c r="J261" s="0" t="str">
        <f aca="false">"11-22"</f>
        <v>11-22</v>
      </c>
      <c r="K261" s="0" t="str">
        <f aca="false">"0.84"</f>
        <v>0.84</v>
      </c>
      <c r="L261" s="0" t="str">
        <f aca="false">"9.69"</f>
        <v>9.69</v>
      </c>
      <c r="M261" s="0" t="str">
        <f aca="false">"-156.3"</f>
        <v>-156.3</v>
      </c>
    </row>
    <row r="262" customFormat="false" ht="12.8" hidden="false" customHeight="false" outlineLevel="0" collapsed="false">
      <c r="A262" s="0" t="s">
        <v>8</v>
      </c>
      <c r="B262" s="0" t="s">
        <v>9</v>
      </c>
      <c r="C262" s="0" t="str">
        <f aca="false">"134-145"</f>
        <v>134-145</v>
      </c>
      <c r="D262" s="0" t="s">
        <v>9</v>
      </c>
      <c r="E262" s="0" t="str">
        <f aca="false">"229-240"</f>
        <v>229-240</v>
      </c>
      <c r="F262" s="0" t="s">
        <v>281</v>
      </c>
      <c r="G262" s="0" t="s">
        <v>9</v>
      </c>
      <c r="H262" s="0" t="str">
        <f aca="false">"245-256"</f>
        <v>245-256</v>
      </c>
      <c r="I262" s="0" t="s">
        <v>9</v>
      </c>
      <c r="J262" s="0" t="str">
        <f aca="false">"298-309"</f>
        <v>298-309</v>
      </c>
      <c r="K262" s="0" t="str">
        <f aca="false">"1.10"</f>
        <v>1.10</v>
      </c>
      <c r="L262" s="0" t="str">
        <f aca="false">"8.65"</f>
        <v>8.65</v>
      </c>
      <c r="M262" s="0" t="str">
        <f aca="false">"-158.8"</f>
        <v>-158.8</v>
      </c>
    </row>
    <row r="263" customFormat="false" ht="12.8" hidden="false" customHeight="false" outlineLevel="0" collapsed="false">
      <c r="A263" s="0" t="s">
        <v>8</v>
      </c>
      <c r="B263" s="0" t="s">
        <v>9</v>
      </c>
      <c r="C263" s="0" t="str">
        <f aca="false">"137-148"</f>
        <v>137-148</v>
      </c>
      <c r="D263" s="0" t="s">
        <v>9</v>
      </c>
      <c r="E263" s="0" t="str">
        <f aca="false">"226-237"</f>
        <v>226-237</v>
      </c>
      <c r="F263" s="0" t="s">
        <v>282</v>
      </c>
      <c r="G263" s="0" t="s">
        <v>13</v>
      </c>
      <c r="H263" s="0" t="str">
        <f aca="false">"322-333"</f>
        <v>322-333</v>
      </c>
      <c r="I263" s="0" t="s">
        <v>9</v>
      </c>
      <c r="J263" s="0" t="str">
        <f aca="false">"81-92"</f>
        <v>81-92</v>
      </c>
      <c r="K263" s="0" t="str">
        <f aca="false">"0.96"</f>
        <v>0.96</v>
      </c>
      <c r="L263" s="0" t="str">
        <f aca="false">"9.16"</f>
        <v>9.16</v>
      </c>
      <c r="M263" s="0" t="str">
        <f aca="false">"-149.2"</f>
        <v>-149.2</v>
      </c>
    </row>
    <row r="264" customFormat="false" ht="12.8" hidden="false" customHeight="false" outlineLevel="0" collapsed="false">
      <c r="A264" s="0" t="s">
        <v>8</v>
      </c>
      <c r="B264" s="0" t="s">
        <v>9</v>
      </c>
      <c r="C264" s="0" t="str">
        <f aca="false">"133-144"</f>
        <v>133-144</v>
      </c>
      <c r="D264" s="0" t="s">
        <v>9</v>
      </c>
      <c r="E264" s="0" t="str">
        <f aca="false">"230-241"</f>
        <v>230-241</v>
      </c>
      <c r="F264" s="0" t="s">
        <v>283</v>
      </c>
      <c r="G264" s="0" t="s">
        <v>9</v>
      </c>
      <c r="H264" s="0" t="str">
        <f aca="false">"456-467"</f>
        <v>456-467</v>
      </c>
      <c r="I264" s="0" t="s">
        <v>9</v>
      </c>
      <c r="J264" s="0" t="str">
        <f aca="false">"470-481"</f>
        <v>470-481</v>
      </c>
      <c r="K264" s="0" t="str">
        <f aca="false">"1.03"</f>
        <v>1.03</v>
      </c>
      <c r="L264" s="0" t="str">
        <f aca="false">"8.63"</f>
        <v>8.63</v>
      </c>
      <c r="M264" s="0" t="str">
        <f aca="false">"-156.5"</f>
        <v>-156.5</v>
      </c>
    </row>
    <row r="265" customFormat="false" ht="12.8" hidden="false" customHeight="false" outlineLevel="0" collapsed="false">
      <c r="A265" s="0" t="s">
        <v>8</v>
      </c>
      <c r="B265" s="0" t="s">
        <v>9</v>
      </c>
      <c r="C265" s="0" t="str">
        <f aca="false">"130-141"</f>
        <v>130-141</v>
      </c>
      <c r="D265" s="0" t="s">
        <v>9</v>
      </c>
      <c r="E265" s="0" t="str">
        <f aca="false">"233-244"</f>
        <v>233-244</v>
      </c>
      <c r="F265" s="0" t="s">
        <v>284</v>
      </c>
      <c r="G265" s="0" t="s">
        <v>9</v>
      </c>
      <c r="H265" s="0" t="str">
        <f aca="false">"14-25"</f>
        <v>14-25</v>
      </c>
      <c r="I265" s="0" t="s">
        <v>9</v>
      </c>
      <c r="J265" s="0" t="str">
        <f aca="false">"94-105"</f>
        <v>94-105</v>
      </c>
      <c r="K265" s="0" t="str">
        <f aca="false">"1.05"</f>
        <v>1.05</v>
      </c>
      <c r="L265" s="0" t="str">
        <f aca="false">"8.95"</f>
        <v>8.95</v>
      </c>
      <c r="M265" s="0" t="str">
        <f aca="false">"-167.1"</f>
        <v>-167.1</v>
      </c>
    </row>
    <row r="266" customFormat="false" ht="12.8" hidden="false" customHeight="false" outlineLevel="0" collapsed="false">
      <c r="A266" s="0" t="s">
        <v>8</v>
      </c>
      <c r="B266" s="0" t="s">
        <v>9</v>
      </c>
      <c r="C266" s="0" t="str">
        <f aca="false">"135-146"</f>
        <v>135-146</v>
      </c>
      <c r="D266" s="0" t="s">
        <v>9</v>
      </c>
      <c r="E266" s="0" t="str">
        <f aca="false">"226-237"</f>
        <v>226-237</v>
      </c>
      <c r="F266" s="0" t="s">
        <v>285</v>
      </c>
      <c r="G266" s="0" t="s">
        <v>120</v>
      </c>
      <c r="H266" s="0" t="str">
        <f aca="false">"132-143"</f>
        <v>132-143</v>
      </c>
      <c r="I266" s="0" t="s">
        <v>120</v>
      </c>
      <c r="J266" s="0" t="str">
        <f aca="false">"114-125"</f>
        <v>114-125</v>
      </c>
      <c r="K266" s="0" t="str">
        <f aca="false">"0.64"</f>
        <v>0.64</v>
      </c>
      <c r="L266" s="0" t="str">
        <f aca="false">"8.89"</f>
        <v>8.89</v>
      </c>
      <c r="M266" s="0" t="str">
        <f aca="false">"-149.4"</f>
        <v>-149.4</v>
      </c>
    </row>
    <row r="267" customFormat="false" ht="12.8" hidden="false" customHeight="false" outlineLevel="0" collapsed="false">
      <c r="A267" s="0" t="s">
        <v>8</v>
      </c>
      <c r="B267" s="0" t="s">
        <v>9</v>
      </c>
      <c r="C267" s="0" t="str">
        <f aca="false">"137-148"</f>
        <v>137-148</v>
      </c>
      <c r="D267" s="0" t="s">
        <v>9</v>
      </c>
      <c r="E267" s="0" t="str">
        <f aca="false">"225-236"</f>
        <v>225-236</v>
      </c>
      <c r="F267" s="0" t="s">
        <v>286</v>
      </c>
      <c r="G267" s="0" t="s">
        <v>70</v>
      </c>
      <c r="H267" s="0" t="str">
        <f aca="false">"74-85"</f>
        <v>74-85</v>
      </c>
      <c r="I267" s="0" t="s">
        <v>70</v>
      </c>
      <c r="J267" s="0" t="str">
        <f aca="false">"93-104"</f>
        <v>93-104</v>
      </c>
      <c r="K267" s="0" t="str">
        <f aca="false">"0.90"</f>
        <v>0.90</v>
      </c>
      <c r="L267" s="0" t="str">
        <f aca="false">"8.82"</f>
        <v>8.82</v>
      </c>
      <c r="M267" s="0" t="str">
        <f aca="false">"-146.0"</f>
        <v>-146.0</v>
      </c>
    </row>
    <row r="268" customFormat="false" ht="12.8" hidden="false" customHeight="false" outlineLevel="0" collapsed="false">
      <c r="A268" s="0" t="s">
        <v>8</v>
      </c>
      <c r="B268" s="0" t="s">
        <v>9</v>
      </c>
      <c r="C268" s="0" t="str">
        <f aca="false">"137-148"</f>
        <v>137-148</v>
      </c>
      <c r="D268" s="0" t="s">
        <v>9</v>
      </c>
      <c r="E268" s="0" t="str">
        <f aca="false">"226-237"</f>
        <v>226-237</v>
      </c>
      <c r="F268" s="0" t="s">
        <v>287</v>
      </c>
      <c r="G268" s="0" t="s">
        <v>70</v>
      </c>
      <c r="H268" s="0" t="str">
        <f aca="false">"61-72"</f>
        <v>61-72</v>
      </c>
      <c r="I268" s="0" t="s">
        <v>70</v>
      </c>
      <c r="J268" s="0" t="str">
        <f aca="false">"45-56"</f>
        <v>45-56</v>
      </c>
      <c r="K268" s="0" t="str">
        <f aca="false">"0.80"</f>
        <v>0.80</v>
      </c>
      <c r="L268" s="0" t="str">
        <f aca="false">"8.52"</f>
        <v>8.52</v>
      </c>
      <c r="M268" s="0" t="str">
        <f aca="false">"-157.0"</f>
        <v>-157.0</v>
      </c>
    </row>
    <row r="269" customFormat="false" ht="12.8" hidden="false" customHeight="false" outlineLevel="0" collapsed="false">
      <c r="A269" s="0" t="s">
        <v>8</v>
      </c>
      <c r="B269" s="0" t="s">
        <v>9</v>
      </c>
      <c r="C269" s="0" t="str">
        <f aca="false">"134-145"</f>
        <v>134-145</v>
      </c>
      <c r="D269" s="0" t="s">
        <v>9</v>
      </c>
      <c r="E269" s="0" t="str">
        <f aca="false">"229-240"</f>
        <v>229-240</v>
      </c>
      <c r="F269" s="0" t="s">
        <v>288</v>
      </c>
      <c r="G269" s="0" t="s">
        <v>9</v>
      </c>
      <c r="H269" s="0" t="str">
        <f aca="false">"909-920"</f>
        <v>909-920</v>
      </c>
      <c r="I269" s="0" t="s">
        <v>9</v>
      </c>
      <c r="J269" s="0" t="str">
        <f aca="false">"872-883"</f>
        <v>872-883</v>
      </c>
      <c r="K269" s="0" t="str">
        <f aca="false">"1.06"</f>
        <v>1.06</v>
      </c>
      <c r="L269" s="0" t="str">
        <f aca="false">"8.73"</f>
        <v>8.73</v>
      </c>
      <c r="M269" s="0" t="str">
        <f aca="false">"-162.6"</f>
        <v>-162.6</v>
      </c>
    </row>
    <row r="270" customFormat="false" ht="12.8" hidden="false" customHeight="false" outlineLevel="0" collapsed="false">
      <c r="A270" s="0" t="s">
        <v>8</v>
      </c>
      <c r="B270" s="0" t="s">
        <v>9</v>
      </c>
      <c r="C270" s="0" t="str">
        <f aca="false">"134-145"</f>
        <v>134-145</v>
      </c>
      <c r="D270" s="0" t="s">
        <v>9</v>
      </c>
      <c r="E270" s="0" t="str">
        <f aca="false">"229-240"</f>
        <v>229-240</v>
      </c>
      <c r="F270" s="0" t="s">
        <v>289</v>
      </c>
      <c r="G270" s="0" t="s">
        <v>9</v>
      </c>
      <c r="H270" s="0" t="str">
        <f aca="false">"26-37"</f>
        <v>26-37</v>
      </c>
      <c r="I270" s="0" t="s">
        <v>9</v>
      </c>
      <c r="J270" s="0" t="str">
        <f aca="false">"72-83"</f>
        <v>72-83</v>
      </c>
      <c r="K270" s="0" t="str">
        <f aca="false">"0.48"</f>
        <v>0.48</v>
      </c>
      <c r="L270" s="0" t="str">
        <f aca="false">"8.92"</f>
        <v>8.92</v>
      </c>
      <c r="M270" s="0" t="str">
        <f aca="false">"-157.0"</f>
        <v>-157.0</v>
      </c>
    </row>
    <row r="271" customFormat="false" ht="12.8" hidden="false" customHeight="false" outlineLevel="0" collapsed="false">
      <c r="A271" s="0" t="s">
        <v>8</v>
      </c>
      <c r="B271" s="0" t="s">
        <v>9</v>
      </c>
      <c r="C271" s="0" t="str">
        <f aca="false">"131-142"</f>
        <v>131-142</v>
      </c>
      <c r="D271" s="0" t="s">
        <v>9</v>
      </c>
      <c r="E271" s="0" t="str">
        <f aca="false">"230-241"</f>
        <v>230-241</v>
      </c>
      <c r="F271" s="0" t="s">
        <v>290</v>
      </c>
      <c r="G271" s="0" t="s">
        <v>9</v>
      </c>
      <c r="H271" s="0" t="str">
        <f aca="false">"254-265"</f>
        <v>254-265</v>
      </c>
      <c r="I271" s="0" t="s">
        <v>9</v>
      </c>
      <c r="J271" s="0" t="str">
        <f aca="false">"270-281"</f>
        <v>270-281</v>
      </c>
      <c r="K271" s="0" t="str">
        <f aca="false">"0.75"</f>
        <v>0.75</v>
      </c>
      <c r="L271" s="0" t="str">
        <f aca="false">"9.01"</f>
        <v>9.01</v>
      </c>
      <c r="M271" s="0" t="str">
        <f aca="false">"-156.5"</f>
        <v>-156.5</v>
      </c>
    </row>
    <row r="272" customFormat="false" ht="12.8" hidden="false" customHeight="false" outlineLevel="0" collapsed="false">
      <c r="A272" s="0" t="s">
        <v>8</v>
      </c>
      <c r="B272" s="0" t="s">
        <v>9</v>
      </c>
      <c r="C272" s="0" t="str">
        <f aca="false">"134-145"</f>
        <v>134-145</v>
      </c>
      <c r="D272" s="0" t="s">
        <v>9</v>
      </c>
      <c r="E272" s="0" t="str">
        <f aca="false">"229-240"</f>
        <v>229-240</v>
      </c>
      <c r="F272" s="0" t="s">
        <v>291</v>
      </c>
      <c r="G272" s="0" t="s">
        <v>9</v>
      </c>
      <c r="H272" s="0" t="str">
        <f aca="false">"102-113"</f>
        <v>102-113</v>
      </c>
      <c r="I272" s="0" t="s">
        <v>9</v>
      </c>
      <c r="J272" s="0" t="str">
        <f aca="false">"124-135"</f>
        <v>124-135</v>
      </c>
      <c r="K272" s="0" t="str">
        <f aca="false">"1.05"</f>
        <v>1.05</v>
      </c>
      <c r="L272" s="0" t="str">
        <f aca="false">"8.29"</f>
        <v>8.29</v>
      </c>
      <c r="M272" s="0" t="str">
        <f aca="false">"-142.6"</f>
        <v>-142.6</v>
      </c>
    </row>
    <row r="273" customFormat="false" ht="12.8" hidden="false" customHeight="false" outlineLevel="0" collapsed="false">
      <c r="A273" s="0" t="s">
        <v>8</v>
      </c>
      <c r="B273" s="0" t="s">
        <v>9</v>
      </c>
      <c r="C273" s="0" t="str">
        <f aca="false">"137-148"</f>
        <v>137-148</v>
      </c>
      <c r="D273" s="0" t="s">
        <v>9</v>
      </c>
      <c r="E273" s="0" t="str">
        <f aca="false">"225-236"</f>
        <v>225-236</v>
      </c>
      <c r="F273" s="0" t="s">
        <v>292</v>
      </c>
      <c r="G273" s="0" t="s">
        <v>9</v>
      </c>
      <c r="H273" s="0" t="str">
        <f aca="false">"76-87"</f>
        <v>76-87</v>
      </c>
      <c r="I273" s="0" t="s">
        <v>9</v>
      </c>
      <c r="J273" s="0" t="str">
        <f aca="false">"59-70"</f>
        <v>59-70</v>
      </c>
      <c r="K273" s="0" t="str">
        <f aca="false">"0.90"</f>
        <v>0.90</v>
      </c>
      <c r="L273" s="0" t="str">
        <f aca="false">"8.60"</f>
        <v>8.60</v>
      </c>
      <c r="M273" s="0" t="str">
        <f aca="false">"-161.5"</f>
        <v>-161.5</v>
      </c>
    </row>
    <row r="274" customFormat="false" ht="12.8" hidden="false" customHeight="false" outlineLevel="0" collapsed="false">
      <c r="A274" s="0" t="s">
        <v>8</v>
      </c>
      <c r="B274" s="0" t="s">
        <v>9</v>
      </c>
      <c r="C274" s="0" t="str">
        <f aca="false">"128-139"</f>
        <v>128-139</v>
      </c>
      <c r="D274" s="0" t="s">
        <v>9</v>
      </c>
      <c r="E274" s="0" t="str">
        <f aca="false">"233-244"</f>
        <v>233-244</v>
      </c>
      <c r="F274" s="0" t="s">
        <v>293</v>
      </c>
      <c r="G274" s="0" t="s">
        <v>9</v>
      </c>
      <c r="H274" s="0" t="str">
        <f aca="false">"583-594"</f>
        <v>583-594</v>
      </c>
      <c r="I274" s="0" t="s">
        <v>9</v>
      </c>
      <c r="J274" s="0" t="str">
        <f aca="false">"513-524"</f>
        <v>513-524</v>
      </c>
      <c r="K274" s="0" t="str">
        <f aca="false">"0.84"</f>
        <v>0.84</v>
      </c>
      <c r="L274" s="0" t="str">
        <f aca="false">"10.60"</f>
        <v>10.60</v>
      </c>
      <c r="M274" s="0" t="str">
        <f aca="false">"-153.2"</f>
        <v>-153.2</v>
      </c>
    </row>
    <row r="275" customFormat="false" ht="12.8" hidden="false" customHeight="false" outlineLevel="0" collapsed="false">
      <c r="A275" s="0" t="s">
        <v>8</v>
      </c>
      <c r="B275" s="0" t="s">
        <v>9</v>
      </c>
      <c r="C275" s="0" t="str">
        <f aca="false">"127-138"</f>
        <v>127-138</v>
      </c>
      <c r="D275" s="0" t="s">
        <v>9</v>
      </c>
      <c r="E275" s="0" t="str">
        <f aca="false">"234-245"</f>
        <v>234-245</v>
      </c>
      <c r="F275" s="0" t="s">
        <v>294</v>
      </c>
      <c r="G275" s="0" t="s">
        <v>9</v>
      </c>
      <c r="H275" s="0" t="str">
        <f aca="false">"71-82"</f>
        <v>71-82</v>
      </c>
      <c r="I275" s="0" t="s">
        <v>9</v>
      </c>
      <c r="J275" s="0" t="str">
        <f aca="false">"89-100"</f>
        <v>89-100</v>
      </c>
      <c r="K275" s="0" t="str">
        <f aca="false">"0.72"</f>
        <v>0.72</v>
      </c>
      <c r="L275" s="0" t="str">
        <f aca="false">"10.75"</f>
        <v>10.75</v>
      </c>
      <c r="M275" s="0" t="str">
        <f aca="false">"-156.2"</f>
        <v>-156.2</v>
      </c>
    </row>
    <row r="276" customFormat="false" ht="12.8" hidden="false" customHeight="false" outlineLevel="0" collapsed="false">
      <c r="A276" s="0" t="s">
        <v>8</v>
      </c>
      <c r="B276" s="0" t="s">
        <v>9</v>
      </c>
      <c r="C276" s="0" t="str">
        <f aca="false">"127-138"</f>
        <v>127-138</v>
      </c>
      <c r="D276" s="0" t="s">
        <v>9</v>
      </c>
      <c r="E276" s="0" t="str">
        <f aca="false">"234-245"</f>
        <v>234-245</v>
      </c>
      <c r="F276" s="0" t="s">
        <v>295</v>
      </c>
      <c r="G276" s="0" t="s">
        <v>9</v>
      </c>
      <c r="H276" s="0" t="str">
        <f aca="false">"241-252"</f>
        <v>241-252</v>
      </c>
      <c r="I276" s="0" t="s">
        <v>9</v>
      </c>
      <c r="J276" s="0" t="str">
        <f aca="false">"263-274"</f>
        <v>263-274</v>
      </c>
      <c r="K276" s="0" t="str">
        <f aca="false">"0.76"</f>
        <v>0.76</v>
      </c>
      <c r="L276" s="0" t="str">
        <f aca="false">"10.23"</f>
        <v>10.23</v>
      </c>
      <c r="M276" s="0" t="str">
        <f aca="false">"-151.4"</f>
        <v>-151.4</v>
      </c>
    </row>
    <row r="277" customFormat="false" ht="12.8" hidden="false" customHeight="false" outlineLevel="0" collapsed="false">
      <c r="A277" s="0" t="s">
        <v>8</v>
      </c>
      <c r="B277" s="0" t="s">
        <v>9</v>
      </c>
      <c r="C277" s="0" t="str">
        <f aca="false">"127-138"</f>
        <v>127-138</v>
      </c>
      <c r="D277" s="0" t="s">
        <v>9</v>
      </c>
      <c r="E277" s="0" t="str">
        <f aca="false">"233-244"</f>
        <v>233-244</v>
      </c>
      <c r="F277" s="0" t="s">
        <v>296</v>
      </c>
      <c r="G277" s="0" t="s">
        <v>9</v>
      </c>
      <c r="H277" s="0" t="str">
        <f aca="false">"28-39"</f>
        <v>28-39</v>
      </c>
      <c r="I277" s="0" t="s">
        <v>9</v>
      </c>
      <c r="J277" s="0" t="str">
        <f aca="false">"13-24"</f>
        <v>13-24</v>
      </c>
      <c r="K277" s="0" t="str">
        <f aca="false">"0.85"</f>
        <v>0.85</v>
      </c>
      <c r="L277" s="0" t="str">
        <f aca="false">"11.57"</f>
        <v>11.57</v>
      </c>
      <c r="M277" s="0" t="str">
        <f aca="false">"-154.1"</f>
        <v>-154.1</v>
      </c>
    </row>
    <row r="278" customFormat="false" ht="12.8" hidden="false" customHeight="false" outlineLevel="0" collapsed="false">
      <c r="A278" s="0" t="s">
        <v>8</v>
      </c>
      <c r="B278" s="0" t="s">
        <v>9</v>
      </c>
      <c r="C278" s="0" t="str">
        <f aca="false">"135-146"</f>
        <v>135-146</v>
      </c>
      <c r="D278" s="0" t="s">
        <v>9</v>
      </c>
      <c r="E278" s="0" t="str">
        <f aca="false">"226-237"</f>
        <v>226-237</v>
      </c>
      <c r="F278" s="0" t="s">
        <v>297</v>
      </c>
      <c r="G278" s="0" t="s">
        <v>9</v>
      </c>
      <c r="H278" s="0" t="str">
        <f aca="false">"340-351"</f>
        <v>340-351</v>
      </c>
      <c r="I278" s="0" t="s">
        <v>9</v>
      </c>
      <c r="J278" s="0" t="str">
        <f aca="false">"359-370"</f>
        <v>359-370</v>
      </c>
      <c r="K278" s="0" t="str">
        <f aca="false">"0.56"</f>
        <v>0.56</v>
      </c>
      <c r="L278" s="0" t="str">
        <f aca="false">"9.58"</f>
        <v>9.58</v>
      </c>
      <c r="M278" s="0" t="str">
        <f aca="false">"-153.2"</f>
        <v>-153.2</v>
      </c>
    </row>
    <row r="279" customFormat="false" ht="12.8" hidden="false" customHeight="false" outlineLevel="0" collapsed="false">
      <c r="A279" s="0" t="s">
        <v>8</v>
      </c>
      <c r="B279" s="0" t="s">
        <v>9</v>
      </c>
      <c r="C279" s="0" t="str">
        <f aca="false">"127-138"</f>
        <v>127-138</v>
      </c>
      <c r="D279" s="0" t="s">
        <v>9</v>
      </c>
      <c r="E279" s="0" t="str">
        <f aca="false">"233-244"</f>
        <v>233-244</v>
      </c>
      <c r="F279" s="0" t="s">
        <v>298</v>
      </c>
      <c r="G279" s="0" t="s">
        <v>9</v>
      </c>
      <c r="H279" s="0" t="str">
        <f aca="false">"9-20"</f>
        <v>9-20</v>
      </c>
      <c r="I279" s="0" t="s">
        <v>9</v>
      </c>
      <c r="J279" s="0" t="str">
        <f aca="false">"119-130"</f>
        <v>119-130</v>
      </c>
      <c r="K279" s="0" t="str">
        <f aca="false">"1.09"</f>
        <v>1.09</v>
      </c>
      <c r="L279" s="0" t="str">
        <f aca="false">"11.11"</f>
        <v>11.11</v>
      </c>
      <c r="M279" s="0" t="str">
        <f aca="false">"-158.5"</f>
        <v>-158.5</v>
      </c>
    </row>
    <row r="280" customFormat="false" ht="12.8" hidden="false" customHeight="false" outlineLevel="0" collapsed="false">
      <c r="A280" s="0" t="s">
        <v>8</v>
      </c>
      <c r="B280" s="0" t="s">
        <v>9</v>
      </c>
      <c r="C280" s="0" t="str">
        <f aca="false">"127-138"</f>
        <v>127-138</v>
      </c>
      <c r="D280" s="0" t="s">
        <v>9</v>
      </c>
      <c r="E280" s="0" t="str">
        <f aca="false">"235-246"</f>
        <v>235-246</v>
      </c>
      <c r="F280" s="0" t="s">
        <v>299</v>
      </c>
      <c r="G280" s="0" t="s">
        <v>9</v>
      </c>
      <c r="H280" s="0" t="str">
        <f aca="false">"744-755"</f>
        <v>744-755</v>
      </c>
      <c r="I280" s="0" t="s">
        <v>9</v>
      </c>
      <c r="J280" s="0" t="str">
        <f aca="false">"770-781"</f>
        <v>770-781</v>
      </c>
      <c r="K280" s="0" t="str">
        <f aca="false">"1.07"</f>
        <v>1.07</v>
      </c>
      <c r="L280" s="0" t="str">
        <f aca="false">"11.54"</f>
        <v>11.54</v>
      </c>
      <c r="M280" s="0" t="str">
        <f aca="false">"-157.3"</f>
        <v>-157.3</v>
      </c>
    </row>
    <row r="281" customFormat="false" ht="12.8" hidden="false" customHeight="false" outlineLevel="0" collapsed="false">
      <c r="A281" s="0" t="s">
        <v>8</v>
      </c>
      <c r="B281" s="0" t="s">
        <v>9</v>
      </c>
      <c r="C281" s="0" t="str">
        <f aca="false">"133-144"</f>
        <v>133-144</v>
      </c>
      <c r="D281" s="0" t="s">
        <v>9</v>
      </c>
      <c r="E281" s="0" t="str">
        <f aca="false">"229-240"</f>
        <v>229-240</v>
      </c>
      <c r="F281" s="0" t="s">
        <v>300</v>
      </c>
      <c r="G281" s="0" t="s">
        <v>9</v>
      </c>
      <c r="H281" s="0" t="str">
        <f aca="false">"144-155"</f>
        <v>144-155</v>
      </c>
      <c r="I281" s="0" t="s">
        <v>9</v>
      </c>
      <c r="J281" s="0" t="str">
        <f aca="false">"94-105"</f>
        <v>94-105</v>
      </c>
      <c r="K281" s="0" t="str">
        <f aca="false">"1.22"</f>
        <v>1.22</v>
      </c>
      <c r="L281" s="0" t="str">
        <f aca="false">"9.89"</f>
        <v>9.89</v>
      </c>
      <c r="M281" s="0" t="str">
        <f aca="false">"-154.6"</f>
        <v>-154.6</v>
      </c>
    </row>
    <row r="282" customFormat="false" ht="12.8" hidden="false" customHeight="false" outlineLevel="0" collapsed="false">
      <c r="A282" s="0" t="s">
        <v>8</v>
      </c>
      <c r="B282" s="0" t="s">
        <v>9</v>
      </c>
      <c r="C282" s="0" t="str">
        <f aca="false">"132-143"</f>
        <v>132-143</v>
      </c>
      <c r="D282" s="0" t="s">
        <v>9</v>
      </c>
      <c r="E282" s="0" t="str">
        <f aca="false">"229-240"</f>
        <v>229-240</v>
      </c>
      <c r="F282" s="0" t="s">
        <v>301</v>
      </c>
      <c r="G282" s="0" t="s">
        <v>13</v>
      </c>
      <c r="H282" s="0" t="str">
        <f aca="false">"172-183"</f>
        <v>172-183</v>
      </c>
      <c r="I282" s="0" t="s">
        <v>13</v>
      </c>
      <c r="J282" s="0" t="str">
        <f aca="false">"189-200"</f>
        <v>189-200</v>
      </c>
      <c r="K282" s="0" t="str">
        <f aca="false">"1.14"</f>
        <v>1.14</v>
      </c>
      <c r="L282" s="0" t="str">
        <f aca="false">"10.43"</f>
        <v>10.43</v>
      </c>
      <c r="M282" s="0" t="str">
        <f aca="false">"-143.6"</f>
        <v>-143.6</v>
      </c>
    </row>
    <row r="283" customFormat="false" ht="12.8" hidden="false" customHeight="false" outlineLevel="0" collapsed="false">
      <c r="A283" s="0" t="s">
        <v>8</v>
      </c>
      <c r="B283" s="0" t="s">
        <v>9</v>
      </c>
      <c r="C283" s="0" t="str">
        <f aca="false">"134-145"</f>
        <v>134-145</v>
      </c>
      <c r="D283" s="0" t="s">
        <v>9</v>
      </c>
      <c r="E283" s="0" t="str">
        <f aca="false">"229-240"</f>
        <v>229-240</v>
      </c>
      <c r="F283" s="0" t="s">
        <v>302</v>
      </c>
      <c r="G283" s="0" t="s">
        <v>9</v>
      </c>
      <c r="H283" s="0" t="str">
        <f aca="false">"86-97"</f>
        <v>86-97</v>
      </c>
      <c r="I283" s="0" t="s">
        <v>9</v>
      </c>
      <c r="J283" s="0" t="str">
        <f aca="false">"112-123"</f>
        <v>112-123</v>
      </c>
      <c r="K283" s="0" t="str">
        <f aca="false">"0.74"</f>
        <v>0.74</v>
      </c>
      <c r="L283" s="0" t="str">
        <f aca="false">"8.15"</f>
        <v>8.15</v>
      </c>
      <c r="M283" s="0" t="str">
        <f aca="false">"-154.6"</f>
        <v>-154.6</v>
      </c>
    </row>
    <row r="284" customFormat="false" ht="12.8" hidden="false" customHeight="false" outlineLevel="0" collapsed="false">
      <c r="A284" s="0" t="s">
        <v>8</v>
      </c>
      <c r="B284" s="0" t="s">
        <v>9</v>
      </c>
      <c r="C284" s="0" t="str">
        <f aca="false">"134-145"</f>
        <v>134-145</v>
      </c>
      <c r="D284" s="0" t="s">
        <v>9</v>
      </c>
      <c r="E284" s="0" t="str">
        <f aca="false">"229-240"</f>
        <v>229-240</v>
      </c>
      <c r="F284" s="0" t="s">
        <v>303</v>
      </c>
      <c r="G284" s="0" t="s">
        <v>9</v>
      </c>
      <c r="H284" s="0" t="str">
        <f aca="false">"16-27"</f>
        <v>16-27</v>
      </c>
      <c r="I284" s="0" t="s">
        <v>9</v>
      </c>
      <c r="J284" s="0" t="str">
        <f aca="false">"58-69"</f>
        <v>58-69</v>
      </c>
      <c r="K284" s="0" t="str">
        <f aca="false">"0.64"</f>
        <v>0.64</v>
      </c>
      <c r="L284" s="0" t="str">
        <f aca="false">"9.00"</f>
        <v>9.00</v>
      </c>
      <c r="M284" s="0" t="str">
        <f aca="false">"-162.7"</f>
        <v>-162.7</v>
      </c>
    </row>
    <row r="285" customFormat="false" ht="12.8" hidden="false" customHeight="false" outlineLevel="0" collapsed="false">
      <c r="A285" s="0" t="s">
        <v>8</v>
      </c>
      <c r="B285" s="0" t="s">
        <v>9</v>
      </c>
      <c r="C285" s="0" t="str">
        <f aca="false">"134-145"</f>
        <v>134-145</v>
      </c>
      <c r="D285" s="0" t="s">
        <v>9</v>
      </c>
      <c r="E285" s="0" t="str">
        <f aca="false">"229-240"</f>
        <v>229-240</v>
      </c>
      <c r="F285" s="0" t="s">
        <v>304</v>
      </c>
      <c r="G285" s="0" t="s">
        <v>13</v>
      </c>
      <c r="H285" s="0" t="str">
        <f aca="false">"125-136"</f>
        <v>125-136</v>
      </c>
      <c r="I285" s="0" t="s">
        <v>13</v>
      </c>
      <c r="J285" s="0" t="str">
        <f aca="false">"151-162"</f>
        <v>151-162</v>
      </c>
      <c r="K285" s="0" t="str">
        <f aca="false">"0.75"</f>
        <v>0.75</v>
      </c>
      <c r="L285" s="0" t="str">
        <f aca="false">"8.07"</f>
        <v>8.07</v>
      </c>
      <c r="M285" s="0" t="str">
        <f aca="false">"-154.5"</f>
        <v>-154.5</v>
      </c>
    </row>
    <row r="286" customFormat="false" ht="12.8" hidden="false" customHeight="false" outlineLevel="0" collapsed="false">
      <c r="A286" s="0" t="s">
        <v>8</v>
      </c>
      <c r="B286" s="0" t="s">
        <v>9</v>
      </c>
      <c r="C286" s="0" t="str">
        <f aca="false">"135-146"</f>
        <v>135-146</v>
      </c>
      <c r="D286" s="0" t="s">
        <v>9</v>
      </c>
      <c r="E286" s="0" t="str">
        <f aca="false">"226-237"</f>
        <v>226-237</v>
      </c>
      <c r="F286" s="0" t="s">
        <v>305</v>
      </c>
      <c r="G286" s="0" t="s">
        <v>9</v>
      </c>
      <c r="H286" s="0" t="str">
        <f aca="false">"54-65"</f>
        <v>54-65</v>
      </c>
      <c r="I286" s="0" t="s">
        <v>9</v>
      </c>
      <c r="J286" s="0" t="str">
        <f aca="false">"38-49"</f>
        <v>38-49</v>
      </c>
      <c r="K286" s="0" t="str">
        <f aca="false">"0.89"</f>
        <v>0.89</v>
      </c>
      <c r="L286" s="0" t="str">
        <f aca="false">"8.07"</f>
        <v>8.07</v>
      </c>
      <c r="M286" s="0" t="str">
        <f aca="false">"-157.7"</f>
        <v>-157.7</v>
      </c>
    </row>
    <row r="287" customFormat="false" ht="12.8" hidden="false" customHeight="false" outlineLevel="0" collapsed="false">
      <c r="A287" s="0" t="s">
        <v>8</v>
      </c>
      <c r="B287" s="0" t="s">
        <v>9</v>
      </c>
      <c r="C287" s="0" t="str">
        <f aca="false">"134-145"</f>
        <v>134-145</v>
      </c>
      <c r="D287" s="0" t="s">
        <v>9</v>
      </c>
      <c r="E287" s="0" t="str">
        <f aca="false">"229-240"</f>
        <v>229-240</v>
      </c>
      <c r="F287" s="0" t="s">
        <v>306</v>
      </c>
      <c r="G287" s="0" t="s">
        <v>9</v>
      </c>
      <c r="H287" s="0" t="str">
        <f aca="false">"20-31"</f>
        <v>20-31</v>
      </c>
      <c r="I287" s="0" t="s">
        <v>9</v>
      </c>
      <c r="J287" s="0" t="str">
        <f aca="false">"46-57"</f>
        <v>46-57</v>
      </c>
      <c r="K287" s="0" t="str">
        <f aca="false">"0.93"</f>
        <v>0.93</v>
      </c>
      <c r="L287" s="0" t="str">
        <f aca="false">"8.12"</f>
        <v>8.12</v>
      </c>
      <c r="M287" s="0" t="str">
        <f aca="false">"-163.6"</f>
        <v>-163.6</v>
      </c>
    </row>
    <row r="288" customFormat="false" ht="12.8" hidden="false" customHeight="false" outlineLevel="0" collapsed="false">
      <c r="A288" s="0" t="s">
        <v>8</v>
      </c>
      <c r="B288" s="0" t="s">
        <v>9</v>
      </c>
      <c r="C288" s="0" t="str">
        <f aca="false">"134-145"</f>
        <v>134-145</v>
      </c>
      <c r="D288" s="0" t="s">
        <v>9</v>
      </c>
      <c r="E288" s="0" t="str">
        <f aca="false">"229-240"</f>
        <v>229-240</v>
      </c>
      <c r="F288" s="0" t="s">
        <v>307</v>
      </c>
      <c r="G288" s="0" t="s">
        <v>24</v>
      </c>
      <c r="H288" s="0" t="str">
        <f aca="false">"10-21"</f>
        <v>10-21</v>
      </c>
      <c r="I288" s="0" t="s">
        <v>24</v>
      </c>
      <c r="J288" s="0" t="str">
        <f aca="false">"50-61"</f>
        <v>50-61</v>
      </c>
      <c r="K288" s="0" t="str">
        <f aca="false">"0.59"</f>
        <v>0.59</v>
      </c>
      <c r="L288" s="0" t="str">
        <f aca="false">"8.88"</f>
        <v>8.88</v>
      </c>
      <c r="M288" s="0" t="str">
        <f aca="false">"-159.1"</f>
        <v>-159.1</v>
      </c>
    </row>
    <row r="289" customFormat="false" ht="12.8" hidden="false" customHeight="false" outlineLevel="0" collapsed="false">
      <c r="A289" s="0" t="s">
        <v>8</v>
      </c>
      <c r="B289" s="0" t="s">
        <v>9</v>
      </c>
      <c r="C289" s="0" t="str">
        <f aca="false">"134-145"</f>
        <v>134-145</v>
      </c>
      <c r="D289" s="0" t="s">
        <v>9</v>
      </c>
      <c r="E289" s="0" t="str">
        <f aca="false">"229-240"</f>
        <v>229-240</v>
      </c>
      <c r="F289" s="0" t="s">
        <v>308</v>
      </c>
      <c r="G289" s="0" t="s">
        <v>9</v>
      </c>
      <c r="H289" s="0" t="str">
        <f aca="false">"112-123"</f>
        <v>112-123</v>
      </c>
      <c r="I289" s="0" t="s">
        <v>9</v>
      </c>
      <c r="J289" s="0" t="str">
        <f aca="false">"148-159"</f>
        <v>148-159</v>
      </c>
      <c r="K289" s="0" t="str">
        <f aca="false">"0.66"</f>
        <v>0.66</v>
      </c>
      <c r="L289" s="0" t="str">
        <f aca="false">"8.50"</f>
        <v>8.50</v>
      </c>
      <c r="M289" s="0" t="str">
        <f aca="false">"-152.2"</f>
        <v>-152.2</v>
      </c>
    </row>
    <row r="290" customFormat="false" ht="12.8" hidden="false" customHeight="false" outlineLevel="0" collapsed="false">
      <c r="A290" s="0" t="s">
        <v>8</v>
      </c>
      <c r="B290" s="0" t="s">
        <v>9</v>
      </c>
      <c r="C290" s="0" t="str">
        <f aca="false">"134-145"</f>
        <v>134-145</v>
      </c>
      <c r="D290" s="0" t="s">
        <v>9</v>
      </c>
      <c r="E290" s="0" t="str">
        <f aca="false">"229-240"</f>
        <v>229-240</v>
      </c>
      <c r="F290" s="0" t="s">
        <v>309</v>
      </c>
      <c r="G290" s="0" t="s">
        <v>9</v>
      </c>
      <c r="H290" s="0" t="str">
        <f aca="false">"33-44"</f>
        <v>33-44</v>
      </c>
      <c r="I290" s="0" t="s">
        <v>9</v>
      </c>
      <c r="J290" s="0" t="str">
        <f aca="false">"59-70"</f>
        <v>59-70</v>
      </c>
      <c r="K290" s="0" t="str">
        <f aca="false">"0.86"</f>
        <v>0.86</v>
      </c>
      <c r="L290" s="0" t="str">
        <f aca="false">"8.54"</f>
        <v>8.54</v>
      </c>
      <c r="M290" s="0" t="str">
        <f aca="false">"-162.7"</f>
        <v>-162.7</v>
      </c>
    </row>
    <row r="291" customFormat="false" ht="12.8" hidden="false" customHeight="false" outlineLevel="0" collapsed="false">
      <c r="A291" s="0" t="s">
        <v>8</v>
      </c>
      <c r="B291" s="0" t="s">
        <v>9</v>
      </c>
      <c r="C291" s="0" t="str">
        <f aca="false">"134-145"</f>
        <v>134-145</v>
      </c>
      <c r="D291" s="0" t="s">
        <v>9</v>
      </c>
      <c r="E291" s="0" t="str">
        <f aca="false">"229-240"</f>
        <v>229-240</v>
      </c>
      <c r="F291" s="0" t="s">
        <v>310</v>
      </c>
      <c r="G291" s="0" t="s">
        <v>9</v>
      </c>
      <c r="H291" s="0" t="str">
        <f aca="false">"152-163"</f>
        <v>152-163</v>
      </c>
      <c r="I291" s="0" t="s">
        <v>9</v>
      </c>
      <c r="J291" s="0" t="str">
        <f aca="false">"177-188"</f>
        <v>177-188</v>
      </c>
      <c r="K291" s="0" t="str">
        <f aca="false">"0.87"</f>
        <v>0.87</v>
      </c>
      <c r="L291" s="0" t="str">
        <f aca="false">"7.95"</f>
        <v>7.95</v>
      </c>
      <c r="M291" s="0" t="str">
        <f aca="false">"-155.5"</f>
        <v>-155.5</v>
      </c>
    </row>
    <row r="292" customFormat="false" ht="12.8" hidden="false" customHeight="false" outlineLevel="0" collapsed="false">
      <c r="A292" s="0" t="s">
        <v>8</v>
      </c>
      <c r="B292" s="0" t="s">
        <v>9</v>
      </c>
      <c r="C292" s="0" t="str">
        <f aca="false">"134-145"</f>
        <v>134-145</v>
      </c>
      <c r="D292" s="0" t="s">
        <v>9</v>
      </c>
      <c r="E292" s="0" t="str">
        <f aca="false">"229-240"</f>
        <v>229-240</v>
      </c>
      <c r="F292" s="0" t="s">
        <v>311</v>
      </c>
      <c r="G292" s="0" t="s">
        <v>13</v>
      </c>
      <c r="H292" s="0" t="str">
        <f aca="false">"507-518"</f>
        <v>507-518</v>
      </c>
      <c r="I292" s="0" t="s">
        <v>9</v>
      </c>
      <c r="J292" s="0" t="str">
        <f aca="false">"164-175"</f>
        <v>164-175</v>
      </c>
      <c r="K292" s="0" t="str">
        <f aca="false">"0.71"</f>
        <v>0.71</v>
      </c>
      <c r="L292" s="0" t="str">
        <f aca="false">"8.56"</f>
        <v>8.56</v>
      </c>
      <c r="M292" s="0" t="str">
        <f aca="false">"-161.1"</f>
        <v>-161.1</v>
      </c>
    </row>
    <row r="293" customFormat="false" ht="12.8" hidden="false" customHeight="false" outlineLevel="0" collapsed="false">
      <c r="A293" s="0" t="s">
        <v>8</v>
      </c>
      <c r="B293" s="0" t="s">
        <v>9</v>
      </c>
      <c r="C293" s="0" t="str">
        <f aca="false">"134-145"</f>
        <v>134-145</v>
      </c>
      <c r="D293" s="0" t="s">
        <v>9</v>
      </c>
      <c r="E293" s="0" t="str">
        <f aca="false">"229-240"</f>
        <v>229-240</v>
      </c>
      <c r="F293" s="0" t="s">
        <v>312</v>
      </c>
      <c r="G293" s="0" t="s">
        <v>13</v>
      </c>
      <c r="H293" s="0" t="str">
        <f aca="false">"345-356"</f>
        <v>345-356</v>
      </c>
      <c r="I293" s="0" t="s">
        <v>13</v>
      </c>
      <c r="J293" s="0" t="str">
        <f aca="false">"313-324"</f>
        <v>313-324</v>
      </c>
      <c r="K293" s="0" t="str">
        <f aca="false">"0.83"</f>
        <v>0.83</v>
      </c>
      <c r="L293" s="0" t="str">
        <f aca="false">"8.09"</f>
        <v>8.09</v>
      </c>
      <c r="M293" s="0" t="str">
        <f aca="false">"-156.5"</f>
        <v>-156.5</v>
      </c>
    </row>
    <row r="294" customFormat="false" ht="12.8" hidden="false" customHeight="false" outlineLevel="0" collapsed="false">
      <c r="A294" s="0" t="s">
        <v>8</v>
      </c>
      <c r="B294" s="0" t="s">
        <v>9</v>
      </c>
      <c r="C294" s="0" t="str">
        <f aca="false">"134-145"</f>
        <v>134-145</v>
      </c>
      <c r="D294" s="0" t="s">
        <v>9</v>
      </c>
      <c r="E294" s="0" t="str">
        <f aca="false">"229-240"</f>
        <v>229-240</v>
      </c>
      <c r="F294" s="0" t="s">
        <v>313</v>
      </c>
      <c r="G294" s="0" t="s">
        <v>9</v>
      </c>
      <c r="H294" s="0" t="str">
        <f aca="false">"19-30"</f>
        <v>19-30</v>
      </c>
      <c r="I294" s="0" t="s">
        <v>9</v>
      </c>
      <c r="J294" s="0" t="str">
        <f aca="false">"106-117"</f>
        <v>106-117</v>
      </c>
      <c r="K294" s="0" t="str">
        <f aca="false">"0.81"</f>
        <v>0.81</v>
      </c>
      <c r="L294" s="0" t="str">
        <f aca="false">"8.30"</f>
        <v>8.30</v>
      </c>
      <c r="M294" s="0" t="str">
        <f aca="false">"-159.5"</f>
        <v>-159.5</v>
      </c>
    </row>
    <row r="295" customFormat="false" ht="12.8" hidden="false" customHeight="false" outlineLevel="0" collapsed="false">
      <c r="A295" s="0" t="s">
        <v>8</v>
      </c>
      <c r="B295" s="0" t="s">
        <v>9</v>
      </c>
      <c r="C295" s="0" t="str">
        <f aca="false">"134-145"</f>
        <v>134-145</v>
      </c>
      <c r="D295" s="0" t="s">
        <v>9</v>
      </c>
      <c r="E295" s="0" t="str">
        <f aca="false">"229-240"</f>
        <v>229-240</v>
      </c>
      <c r="F295" s="0" t="s">
        <v>314</v>
      </c>
      <c r="G295" s="0" t="s">
        <v>70</v>
      </c>
      <c r="H295" s="0" t="str">
        <f aca="false">"480-491"</f>
        <v>480-491</v>
      </c>
      <c r="I295" s="0" t="s">
        <v>71</v>
      </c>
      <c r="J295" s="0" t="str">
        <f aca="false">"125-136"</f>
        <v>125-136</v>
      </c>
      <c r="K295" s="0" t="str">
        <f aca="false">"0.84"</f>
        <v>0.84</v>
      </c>
      <c r="L295" s="0" t="str">
        <f aca="false">"8.29"</f>
        <v>8.29</v>
      </c>
      <c r="M295" s="0" t="str">
        <f aca="false">"-165.9"</f>
        <v>-165.9</v>
      </c>
    </row>
    <row r="296" customFormat="false" ht="12.8" hidden="false" customHeight="false" outlineLevel="0" collapsed="false">
      <c r="A296" s="0" t="s">
        <v>8</v>
      </c>
      <c r="B296" s="0" t="s">
        <v>9</v>
      </c>
      <c r="C296" s="0" t="str">
        <f aca="false">"135-146"</f>
        <v>135-146</v>
      </c>
      <c r="D296" s="0" t="s">
        <v>9</v>
      </c>
      <c r="E296" s="0" t="str">
        <f aca="false">"226-237"</f>
        <v>226-237</v>
      </c>
      <c r="F296" s="0" t="s">
        <v>315</v>
      </c>
      <c r="G296" s="0" t="s">
        <v>9</v>
      </c>
      <c r="H296" s="0" t="str">
        <f aca="false">"138-149"</f>
        <v>138-149</v>
      </c>
      <c r="I296" s="0" t="s">
        <v>9</v>
      </c>
      <c r="J296" s="0" t="str">
        <f aca="false">"120-131"</f>
        <v>120-131</v>
      </c>
      <c r="K296" s="0" t="str">
        <f aca="false">"1.21"</f>
        <v>1.21</v>
      </c>
      <c r="L296" s="0" t="str">
        <f aca="false">"8.21"</f>
        <v>8.21</v>
      </c>
      <c r="M296" s="0" t="str">
        <f aca="false">"-167.8"</f>
        <v>-167.8</v>
      </c>
    </row>
    <row r="297" customFormat="false" ht="12.8" hidden="false" customHeight="false" outlineLevel="0" collapsed="false">
      <c r="A297" s="0" t="s">
        <v>8</v>
      </c>
      <c r="B297" s="0" t="s">
        <v>9</v>
      </c>
      <c r="C297" s="0" t="str">
        <f aca="false">"135-146"</f>
        <v>135-146</v>
      </c>
      <c r="D297" s="0" t="s">
        <v>9</v>
      </c>
      <c r="E297" s="0" t="str">
        <f aca="false">"226-237"</f>
        <v>226-237</v>
      </c>
      <c r="F297" s="0" t="s">
        <v>316</v>
      </c>
      <c r="G297" s="0" t="s">
        <v>13</v>
      </c>
      <c r="H297" s="0" t="str">
        <f aca="false">"152-163"</f>
        <v>152-163</v>
      </c>
      <c r="I297" s="0" t="s">
        <v>13</v>
      </c>
      <c r="J297" s="0" t="str">
        <f aca="false">"130-141"</f>
        <v>130-141</v>
      </c>
      <c r="K297" s="0" t="str">
        <f aca="false">"1.01"</f>
        <v>1.01</v>
      </c>
      <c r="L297" s="0" t="str">
        <f aca="false">"8.19"</f>
        <v>8.19</v>
      </c>
      <c r="M297" s="0" t="str">
        <f aca="false">"-165.0"</f>
        <v>-165.0</v>
      </c>
    </row>
    <row r="298" customFormat="false" ht="12.8" hidden="false" customHeight="false" outlineLevel="0" collapsed="false">
      <c r="A298" s="0" t="s">
        <v>8</v>
      </c>
      <c r="B298" s="0" t="s">
        <v>9</v>
      </c>
      <c r="C298" s="0" t="str">
        <f aca="false">"134-145"</f>
        <v>134-145</v>
      </c>
      <c r="D298" s="0" t="s">
        <v>9</v>
      </c>
      <c r="E298" s="0" t="str">
        <f aca="false">"229-240"</f>
        <v>229-240</v>
      </c>
      <c r="F298" s="0" t="s">
        <v>317</v>
      </c>
      <c r="G298" s="0" t="s">
        <v>120</v>
      </c>
      <c r="H298" s="0" t="str">
        <f aca="false">"66-77"</f>
        <v>66-77</v>
      </c>
      <c r="I298" s="0" t="s">
        <v>120</v>
      </c>
      <c r="J298" s="0" t="str">
        <f aca="false">"45-56"</f>
        <v>45-56</v>
      </c>
      <c r="K298" s="0" t="str">
        <f aca="false">"1.05"</f>
        <v>1.05</v>
      </c>
      <c r="L298" s="0" t="str">
        <f aca="false">"7.95"</f>
        <v>7.95</v>
      </c>
      <c r="M298" s="0" t="str">
        <f aca="false">"-166.2"</f>
        <v>-166.2</v>
      </c>
    </row>
    <row r="299" customFormat="false" ht="12.8" hidden="false" customHeight="false" outlineLevel="0" collapsed="false">
      <c r="A299" s="0" t="s">
        <v>8</v>
      </c>
      <c r="B299" s="0" t="s">
        <v>9</v>
      </c>
      <c r="C299" s="0" t="str">
        <f aca="false">"135-146"</f>
        <v>135-146</v>
      </c>
      <c r="D299" s="0" t="s">
        <v>9</v>
      </c>
      <c r="E299" s="0" t="str">
        <f aca="false">"226-237"</f>
        <v>226-237</v>
      </c>
      <c r="F299" s="0" t="s">
        <v>318</v>
      </c>
      <c r="G299" s="0" t="s">
        <v>9</v>
      </c>
      <c r="H299" s="0" t="str">
        <f aca="false">"21-32"</f>
        <v>21-32</v>
      </c>
      <c r="I299" s="0" t="s">
        <v>9</v>
      </c>
      <c r="J299" s="0" t="str">
        <f aca="false">"3-14"</f>
        <v>3-14</v>
      </c>
      <c r="K299" s="0" t="str">
        <f aca="false">"1.07"</f>
        <v>1.07</v>
      </c>
      <c r="L299" s="0" t="str">
        <f aca="false">"8.27"</f>
        <v>8.27</v>
      </c>
      <c r="M299" s="0" t="str">
        <f aca="false">"-167.5"</f>
        <v>-167.5</v>
      </c>
    </row>
    <row r="300" customFormat="false" ht="12.8" hidden="false" customHeight="false" outlineLevel="0" collapsed="false">
      <c r="A300" s="0" t="s">
        <v>8</v>
      </c>
      <c r="B300" s="0" t="s">
        <v>9</v>
      </c>
      <c r="C300" s="0" t="str">
        <f aca="false">"134-145"</f>
        <v>134-145</v>
      </c>
      <c r="D300" s="0" t="s">
        <v>9</v>
      </c>
      <c r="E300" s="0" t="str">
        <f aca="false">"229-240"</f>
        <v>229-240</v>
      </c>
      <c r="F300" s="0" t="s">
        <v>319</v>
      </c>
      <c r="G300" s="0" t="s">
        <v>9</v>
      </c>
      <c r="H300" s="0" t="str">
        <f aca="false">"97-108"</f>
        <v>97-108</v>
      </c>
      <c r="I300" s="0" t="s">
        <v>9</v>
      </c>
      <c r="J300" s="0" t="str">
        <f aca="false">"134-145"</f>
        <v>134-145</v>
      </c>
      <c r="K300" s="0" t="str">
        <f aca="false">"1.06"</f>
        <v>1.06</v>
      </c>
      <c r="L300" s="0" t="str">
        <f aca="false">"8.24"</f>
        <v>8.24</v>
      </c>
      <c r="M300" s="0" t="str">
        <f aca="false">"-153.2"</f>
        <v>-153.2</v>
      </c>
    </row>
    <row r="301" customFormat="false" ht="12.8" hidden="false" customHeight="false" outlineLevel="0" collapsed="false">
      <c r="A301" s="0" t="s">
        <v>8</v>
      </c>
      <c r="B301" s="0" t="s">
        <v>9</v>
      </c>
      <c r="C301" s="0" t="str">
        <f aca="false">"134-145"</f>
        <v>134-145</v>
      </c>
      <c r="D301" s="0" t="s">
        <v>9</v>
      </c>
      <c r="E301" s="0" t="str">
        <f aca="false">"229-240"</f>
        <v>229-240</v>
      </c>
      <c r="F301" s="0" t="s">
        <v>320</v>
      </c>
      <c r="G301" s="0" t="s">
        <v>9</v>
      </c>
      <c r="H301" s="0" t="str">
        <f aca="false">"59-70"</f>
        <v>59-70</v>
      </c>
      <c r="I301" s="0" t="s">
        <v>9</v>
      </c>
      <c r="J301" s="0" t="str">
        <f aca="false">"89-100"</f>
        <v>89-100</v>
      </c>
      <c r="K301" s="0" t="str">
        <f aca="false">"0.80"</f>
        <v>0.80</v>
      </c>
      <c r="L301" s="0" t="str">
        <f aca="false">"8.11"</f>
        <v>8.11</v>
      </c>
      <c r="M301" s="0" t="str">
        <f aca="false">"-164.2"</f>
        <v>-164.2</v>
      </c>
    </row>
    <row r="302" customFormat="false" ht="12.8" hidden="false" customHeight="false" outlineLevel="0" collapsed="false">
      <c r="A302" s="0" t="s">
        <v>8</v>
      </c>
      <c r="B302" s="0" t="s">
        <v>9</v>
      </c>
      <c r="C302" s="0" t="str">
        <f aca="false">"134-145"</f>
        <v>134-145</v>
      </c>
      <c r="D302" s="0" t="s">
        <v>9</v>
      </c>
      <c r="E302" s="0" t="str">
        <f aca="false">"226-237"</f>
        <v>226-237</v>
      </c>
      <c r="F302" s="0" t="s">
        <v>321</v>
      </c>
      <c r="G302" s="0" t="s">
        <v>9</v>
      </c>
      <c r="H302" s="0" t="str">
        <f aca="false">"68-79"</f>
        <v>68-79</v>
      </c>
      <c r="I302" s="0" t="s">
        <v>9</v>
      </c>
      <c r="J302" s="0" t="str">
        <f aca="false">"92-103"</f>
        <v>92-103</v>
      </c>
      <c r="K302" s="0" t="str">
        <f aca="false">"1.00"</f>
        <v>1.00</v>
      </c>
      <c r="L302" s="0" t="str">
        <f aca="false">"8.66"</f>
        <v>8.66</v>
      </c>
      <c r="M302" s="0" t="str">
        <f aca="false">"-159.5"</f>
        <v>-159.5</v>
      </c>
    </row>
    <row r="303" customFormat="false" ht="12.8" hidden="false" customHeight="false" outlineLevel="0" collapsed="false">
      <c r="A303" s="0" t="s">
        <v>8</v>
      </c>
      <c r="B303" s="0" t="s">
        <v>9</v>
      </c>
      <c r="C303" s="0" t="str">
        <f aca="false">"134-145"</f>
        <v>134-145</v>
      </c>
      <c r="D303" s="0" t="s">
        <v>9</v>
      </c>
      <c r="E303" s="0" t="str">
        <f aca="false">"229-240"</f>
        <v>229-240</v>
      </c>
      <c r="F303" s="0" t="s">
        <v>322</v>
      </c>
      <c r="G303" s="0" t="s">
        <v>13</v>
      </c>
      <c r="H303" s="0" t="str">
        <f aca="false">"166-177"</f>
        <v>166-177</v>
      </c>
      <c r="I303" s="0" t="s">
        <v>13</v>
      </c>
      <c r="J303" s="0" t="str">
        <f aca="false">"121-132"</f>
        <v>121-132</v>
      </c>
      <c r="K303" s="0" t="str">
        <f aca="false">"0.86"</f>
        <v>0.86</v>
      </c>
      <c r="L303" s="0" t="str">
        <f aca="false">"8.19"</f>
        <v>8.19</v>
      </c>
      <c r="M303" s="0" t="str">
        <f aca="false">"-164.8"</f>
        <v>-164.8</v>
      </c>
    </row>
    <row r="304" customFormat="false" ht="12.8" hidden="false" customHeight="false" outlineLevel="0" collapsed="false">
      <c r="A304" s="0" t="s">
        <v>8</v>
      </c>
      <c r="B304" s="0" t="s">
        <v>9</v>
      </c>
      <c r="C304" s="0" t="str">
        <f aca="false">"134-145"</f>
        <v>134-145</v>
      </c>
      <c r="D304" s="0" t="s">
        <v>9</v>
      </c>
      <c r="E304" s="0" t="str">
        <f aca="false">"229-240"</f>
        <v>229-240</v>
      </c>
      <c r="F304" s="0" t="s">
        <v>323</v>
      </c>
      <c r="G304" s="0" t="s">
        <v>9</v>
      </c>
      <c r="H304" s="0" t="str">
        <f aca="false">"299-310"</f>
        <v>299-310</v>
      </c>
      <c r="I304" s="0" t="s">
        <v>9</v>
      </c>
      <c r="J304" s="0" t="str">
        <f aca="false">"324-335"</f>
        <v>324-335</v>
      </c>
      <c r="K304" s="0" t="str">
        <f aca="false">"0.76"</f>
        <v>0.76</v>
      </c>
      <c r="L304" s="0" t="str">
        <f aca="false">"8.41"</f>
        <v>8.41</v>
      </c>
      <c r="M304" s="0" t="str">
        <f aca="false">"-147.4"</f>
        <v>-147.4</v>
      </c>
    </row>
    <row r="305" customFormat="false" ht="12.8" hidden="false" customHeight="false" outlineLevel="0" collapsed="false">
      <c r="A305" s="0" t="s">
        <v>8</v>
      </c>
      <c r="B305" s="0" t="s">
        <v>9</v>
      </c>
      <c r="C305" s="0" t="str">
        <f aca="false">"135-146"</f>
        <v>135-146</v>
      </c>
      <c r="D305" s="0" t="s">
        <v>9</v>
      </c>
      <c r="E305" s="0" t="str">
        <f aca="false">"226-237"</f>
        <v>226-237</v>
      </c>
      <c r="F305" s="0" t="s">
        <v>324</v>
      </c>
      <c r="G305" s="0" t="s">
        <v>9</v>
      </c>
      <c r="H305" s="0" t="str">
        <f aca="false">"244-255"</f>
        <v>244-255</v>
      </c>
      <c r="I305" s="0" t="s">
        <v>9</v>
      </c>
      <c r="J305" s="0" t="str">
        <f aca="false">"220-231"</f>
        <v>220-231</v>
      </c>
      <c r="K305" s="0" t="str">
        <f aca="false">"0.81"</f>
        <v>0.81</v>
      </c>
      <c r="L305" s="0" t="str">
        <f aca="false">"8.31"</f>
        <v>8.31</v>
      </c>
      <c r="M305" s="0" t="str">
        <f aca="false">"-154.6"</f>
        <v>-154.6</v>
      </c>
    </row>
    <row r="306" customFormat="false" ht="12.8" hidden="false" customHeight="false" outlineLevel="0" collapsed="false">
      <c r="A306" s="0" t="s">
        <v>8</v>
      </c>
      <c r="B306" s="0" t="s">
        <v>9</v>
      </c>
      <c r="C306" s="0" t="str">
        <f aca="false">"134-145"</f>
        <v>134-145</v>
      </c>
      <c r="D306" s="0" t="s">
        <v>9</v>
      </c>
      <c r="E306" s="0" t="str">
        <f aca="false">"226-237"</f>
        <v>226-237</v>
      </c>
      <c r="F306" s="0" t="s">
        <v>325</v>
      </c>
      <c r="G306" s="0" t="s">
        <v>9</v>
      </c>
      <c r="H306" s="0" t="str">
        <f aca="false">"56-67"</f>
        <v>56-67</v>
      </c>
      <c r="I306" s="0" t="s">
        <v>9</v>
      </c>
      <c r="J306" s="0" t="str">
        <f aca="false">"79-90"</f>
        <v>79-90</v>
      </c>
      <c r="K306" s="0" t="str">
        <f aca="false">"1.02"</f>
        <v>1.02</v>
      </c>
      <c r="L306" s="0" t="str">
        <f aca="false">"8.49"</f>
        <v>8.49</v>
      </c>
      <c r="M306" s="0" t="str">
        <f aca="false">"-156.6"</f>
        <v>-156.6</v>
      </c>
    </row>
    <row r="307" customFormat="false" ht="12.8" hidden="false" customHeight="false" outlineLevel="0" collapsed="false">
      <c r="A307" s="0" t="s">
        <v>8</v>
      </c>
      <c r="B307" s="0" t="s">
        <v>9</v>
      </c>
      <c r="C307" s="0" t="str">
        <f aca="false">"131-142"</f>
        <v>131-142</v>
      </c>
      <c r="D307" s="0" t="s">
        <v>9</v>
      </c>
      <c r="E307" s="0" t="str">
        <f aca="false">"230-241"</f>
        <v>230-241</v>
      </c>
      <c r="F307" s="0" t="s">
        <v>326</v>
      </c>
      <c r="G307" s="0" t="s">
        <v>9</v>
      </c>
      <c r="H307" s="0" t="str">
        <f aca="false">"223-234"</f>
        <v>223-234</v>
      </c>
      <c r="I307" s="0" t="s">
        <v>9</v>
      </c>
      <c r="J307" s="0" t="str">
        <f aca="false">"239-250"</f>
        <v>239-250</v>
      </c>
      <c r="K307" s="0" t="str">
        <f aca="false">"1.03"</f>
        <v>1.03</v>
      </c>
      <c r="L307" s="0" t="str">
        <f aca="false">"8.40"</f>
        <v>8.40</v>
      </c>
      <c r="M307" s="0" t="str">
        <f aca="false">"-169.6"</f>
        <v>-169.6</v>
      </c>
    </row>
    <row r="308" customFormat="false" ht="12.8" hidden="false" customHeight="false" outlineLevel="0" collapsed="false">
      <c r="A308" s="0" t="s">
        <v>8</v>
      </c>
      <c r="B308" s="0" t="s">
        <v>9</v>
      </c>
      <c r="C308" s="0" t="str">
        <f aca="false">"134-145"</f>
        <v>134-145</v>
      </c>
      <c r="D308" s="0" t="s">
        <v>9</v>
      </c>
      <c r="E308" s="0" t="str">
        <f aca="false">"229-240"</f>
        <v>229-240</v>
      </c>
      <c r="F308" s="0" t="s">
        <v>327</v>
      </c>
      <c r="G308" s="0" t="s">
        <v>9</v>
      </c>
      <c r="H308" s="0" t="str">
        <f aca="false">"220-231"</f>
        <v>220-231</v>
      </c>
      <c r="I308" s="0" t="s">
        <v>9</v>
      </c>
      <c r="J308" s="0" t="str">
        <f aca="false">"246-257"</f>
        <v>246-257</v>
      </c>
      <c r="K308" s="0" t="str">
        <f aca="false">"0.57"</f>
        <v>0.57</v>
      </c>
      <c r="L308" s="0" t="str">
        <f aca="false">"8.58"</f>
        <v>8.58</v>
      </c>
      <c r="M308" s="0" t="str">
        <f aca="false">"-152.4"</f>
        <v>-152.4</v>
      </c>
    </row>
    <row r="309" customFormat="false" ht="12.8" hidden="false" customHeight="false" outlineLevel="0" collapsed="false">
      <c r="A309" s="0" t="s">
        <v>8</v>
      </c>
      <c r="B309" s="0" t="s">
        <v>9</v>
      </c>
      <c r="C309" s="0" t="str">
        <f aca="false">"135-146"</f>
        <v>135-146</v>
      </c>
      <c r="D309" s="0" t="s">
        <v>9</v>
      </c>
      <c r="E309" s="0" t="str">
        <f aca="false">"226-237"</f>
        <v>226-237</v>
      </c>
      <c r="F309" s="0" t="s">
        <v>328</v>
      </c>
      <c r="G309" s="0" t="s">
        <v>13</v>
      </c>
      <c r="H309" s="0" t="str">
        <f aca="false">"146-157"</f>
        <v>146-157</v>
      </c>
      <c r="I309" s="0" t="s">
        <v>13</v>
      </c>
      <c r="J309" s="0" t="str">
        <f aca="false">"130-141"</f>
        <v>130-141</v>
      </c>
      <c r="K309" s="0" t="str">
        <f aca="false">"0.92"</f>
        <v>0.92</v>
      </c>
      <c r="L309" s="0" t="str">
        <f aca="false">"8.10"</f>
        <v>8.10</v>
      </c>
      <c r="M309" s="0" t="str">
        <f aca="false">"-155.2"</f>
        <v>-155.2</v>
      </c>
    </row>
    <row r="310" customFormat="false" ht="12.8" hidden="false" customHeight="false" outlineLevel="0" collapsed="false">
      <c r="A310" s="0" t="s">
        <v>8</v>
      </c>
      <c r="B310" s="0" t="s">
        <v>9</v>
      </c>
      <c r="C310" s="0" t="str">
        <f aca="false">"134-145"</f>
        <v>134-145</v>
      </c>
      <c r="D310" s="0" t="s">
        <v>9</v>
      </c>
      <c r="E310" s="0" t="str">
        <f aca="false">"229-240"</f>
        <v>229-240</v>
      </c>
      <c r="F310" s="0" t="s">
        <v>329</v>
      </c>
      <c r="G310" s="0" t="s">
        <v>9</v>
      </c>
      <c r="H310" s="0" t="str">
        <f aca="false">"107-118"</f>
        <v>107-118</v>
      </c>
      <c r="I310" s="0" t="s">
        <v>9</v>
      </c>
      <c r="J310" s="0" t="str">
        <f aca="false">"144-155"</f>
        <v>144-155</v>
      </c>
      <c r="K310" s="0" t="str">
        <f aca="false">"0.87"</f>
        <v>0.87</v>
      </c>
      <c r="L310" s="0" t="str">
        <f aca="false">"8.12"</f>
        <v>8.12</v>
      </c>
      <c r="M310" s="0" t="str">
        <f aca="false">"-160.0"</f>
        <v>-160.0</v>
      </c>
    </row>
    <row r="311" customFormat="false" ht="12.8" hidden="false" customHeight="false" outlineLevel="0" collapsed="false">
      <c r="A311" s="0" t="s">
        <v>8</v>
      </c>
      <c r="B311" s="0" t="s">
        <v>9</v>
      </c>
      <c r="C311" s="0" t="str">
        <f aca="false">"135-146"</f>
        <v>135-146</v>
      </c>
      <c r="D311" s="0" t="s">
        <v>9</v>
      </c>
      <c r="E311" s="0" t="str">
        <f aca="false">"226-237"</f>
        <v>226-237</v>
      </c>
      <c r="F311" s="0" t="s">
        <v>330</v>
      </c>
      <c r="G311" s="0" t="s">
        <v>9</v>
      </c>
      <c r="H311" s="0" t="str">
        <f aca="false">"110-121"</f>
        <v>110-121</v>
      </c>
      <c r="I311" s="0" t="s">
        <v>9</v>
      </c>
      <c r="J311" s="0" t="str">
        <f aca="false">"155-166"</f>
        <v>155-166</v>
      </c>
      <c r="K311" s="0" t="str">
        <f aca="false">"1.16"</f>
        <v>1.16</v>
      </c>
      <c r="L311" s="0" t="str">
        <f aca="false">"8.14"</f>
        <v>8.14</v>
      </c>
      <c r="M311" s="0" t="str">
        <f aca="false">"-162.7"</f>
        <v>-162.7</v>
      </c>
    </row>
    <row r="312" customFormat="false" ht="12.8" hidden="false" customHeight="false" outlineLevel="0" collapsed="false">
      <c r="A312" s="0" t="s">
        <v>8</v>
      </c>
      <c r="B312" s="0" t="s">
        <v>9</v>
      </c>
      <c r="C312" s="0" t="str">
        <f aca="false">"134-145"</f>
        <v>134-145</v>
      </c>
      <c r="D312" s="0" t="s">
        <v>9</v>
      </c>
      <c r="E312" s="0" t="str">
        <f aca="false">"229-240"</f>
        <v>229-240</v>
      </c>
      <c r="F312" s="0" t="s">
        <v>331</v>
      </c>
      <c r="G312" s="0" t="s">
        <v>13</v>
      </c>
      <c r="H312" s="0" t="str">
        <f aca="false">"107-118"</f>
        <v>107-118</v>
      </c>
      <c r="I312" s="0" t="s">
        <v>13</v>
      </c>
      <c r="J312" s="0" t="str">
        <f aca="false">"130-141"</f>
        <v>130-141</v>
      </c>
      <c r="K312" s="0" t="str">
        <f aca="false">"0.87"</f>
        <v>0.87</v>
      </c>
      <c r="L312" s="0" t="str">
        <f aca="false">"8.16"</f>
        <v>8.16</v>
      </c>
      <c r="M312" s="0" t="str">
        <f aca="false">"-160.6"</f>
        <v>-160.6</v>
      </c>
    </row>
    <row r="313" customFormat="false" ht="12.8" hidden="false" customHeight="false" outlineLevel="0" collapsed="false">
      <c r="A313" s="0" t="s">
        <v>8</v>
      </c>
      <c r="B313" s="0" t="s">
        <v>9</v>
      </c>
      <c r="C313" s="0" t="str">
        <f aca="false">"134-145"</f>
        <v>134-145</v>
      </c>
      <c r="D313" s="0" t="s">
        <v>9</v>
      </c>
      <c r="E313" s="0" t="str">
        <f aca="false">"229-240"</f>
        <v>229-240</v>
      </c>
      <c r="F313" s="0" t="s">
        <v>332</v>
      </c>
      <c r="G313" s="0" t="s">
        <v>13</v>
      </c>
      <c r="H313" s="0" t="str">
        <f aca="false">"137-148"</f>
        <v>137-148</v>
      </c>
      <c r="I313" s="0" t="s">
        <v>13</v>
      </c>
      <c r="J313" s="0" t="str">
        <f aca="false">"116-127"</f>
        <v>116-127</v>
      </c>
      <c r="K313" s="0" t="str">
        <f aca="false">"0.94"</f>
        <v>0.94</v>
      </c>
      <c r="L313" s="0" t="str">
        <f aca="false">"7.67"</f>
        <v>7.67</v>
      </c>
      <c r="M313" s="0" t="str">
        <f aca="false">"-149.6"</f>
        <v>-149.6</v>
      </c>
    </row>
    <row r="314" customFormat="false" ht="12.8" hidden="false" customHeight="false" outlineLevel="0" collapsed="false">
      <c r="A314" s="0" t="s">
        <v>8</v>
      </c>
      <c r="B314" s="0" t="s">
        <v>9</v>
      </c>
      <c r="C314" s="0" t="str">
        <f aca="false">"134-145"</f>
        <v>134-145</v>
      </c>
      <c r="D314" s="0" t="s">
        <v>9</v>
      </c>
      <c r="E314" s="0" t="str">
        <f aca="false">"229-240"</f>
        <v>229-240</v>
      </c>
      <c r="F314" s="0" t="s">
        <v>333</v>
      </c>
      <c r="G314" s="0" t="s">
        <v>9</v>
      </c>
      <c r="H314" s="0" t="str">
        <f aca="false">"366-377"</f>
        <v>366-377</v>
      </c>
      <c r="I314" s="0" t="s">
        <v>9</v>
      </c>
      <c r="J314" s="0" t="str">
        <f aca="false">"433-444"</f>
        <v>433-444</v>
      </c>
      <c r="K314" s="0" t="str">
        <f aca="false">"1.11"</f>
        <v>1.11</v>
      </c>
      <c r="L314" s="0" t="str">
        <f aca="false">"7.93"</f>
        <v>7.93</v>
      </c>
      <c r="M314" s="0" t="str">
        <f aca="false">"-168.4"</f>
        <v>-168.4</v>
      </c>
    </row>
    <row r="315" customFormat="false" ht="12.8" hidden="false" customHeight="false" outlineLevel="0" collapsed="false">
      <c r="A315" s="0" t="s">
        <v>8</v>
      </c>
      <c r="B315" s="0" t="s">
        <v>9</v>
      </c>
      <c r="C315" s="0" t="str">
        <f aca="false">"134-145"</f>
        <v>134-145</v>
      </c>
      <c r="D315" s="0" t="s">
        <v>9</v>
      </c>
      <c r="E315" s="0" t="str">
        <f aca="false">"229-240"</f>
        <v>229-240</v>
      </c>
      <c r="F315" s="0" t="s">
        <v>334</v>
      </c>
      <c r="G315" s="0" t="s">
        <v>120</v>
      </c>
      <c r="H315" s="0" t="str">
        <f aca="false">"154-165"</f>
        <v>154-165</v>
      </c>
      <c r="I315" s="0" t="s">
        <v>120</v>
      </c>
      <c r="J315" s="0" t="str">
        <f aca="false">"125-136"</f>
        <v>125-136</v>
      </c>
      <c r="K315" s="0" t="str">
        <f aca="false">"0.80"</f>
        <v>0.80</v>
      </c>
      <c r="L315" s="0" t="str">
        <f aca="false">"8.45"</f>
        <v>8.45</v>
      </c>
      <c r="M315" s="0" t="str">
        <f aca="false">"-168.2"</f>
        <v>-168.2</v>
      </c>
    </row>
    <row r="316" customFormat="false" ht="12.8" hidden="false" customHeight="false" outlineLevel="0" collapsed="false">
      <c r="A316" s="0" t="s">
        <v>8</v>
      </c>
      <c r="B316" s="0" t="s">
        <v>9</v>
      </c>
      <c r="C316" s="0" t="str">
        <f aca="false">"134-145"</f>
        <v>134-145</v>
      </c>
      <c r="D316" s="0" t="s">
        <v>9</v>
      </c>
      <c r="E316" s="0" t="str">
        <f aca="false">"229-240"</f>
        <v>229-240</v>
      </c>
      <c r="F316" s="0" t="s">
        <v>335</v>
      </c>
      <c r="G316" s="0" t="s">
        <v>13</v>
      </c>
      <c r="H316" s="0" t="str">
        <f aca="false">"47-58"</f>
        <v>47-58</v>
      </c>
      <c r="I316" s="0" t="s">
        <v>13</v>
      </c>
      <c r="J316" s="0" t="str">
        <f aca="false">"73-84"</f>
        <v>73-84</v>
      </c>
      <c r="K316" s="0" t="str">
        <f aca="false">"0.55"</f>
        <v>0.55</v>
      </c>
      <c r="L316" s="0" t="str">
        <f aca="false">"9.19"</f>
        <v>9.19</v>
      </c>
      <c r="M316" s="0" t="str">
        <f aca="false">"-155.7"</f>
        <v>-155.7</v>
      </c>
    </row>
    <row r="317" customFormat="false" ht="12.8" hidden="false" customHeight="false" outlineLevel="0" collapsed="false">
      <c r="A317" s="0" t="s">
        <v>8</v>
      </c>
      <c r="B317" s="0" t="s">
        <v>9</v>
      </c>
      <c r="C317" s="0" t="str">
        <f aca="false">"134-145"</f>
        <v>134-145</v>
      </c>
      <c r="D317" s="0" t="s">
        <v>9</v>
      </c>
      <c r="E317" s="0" t="str">
        <f aca="false">"228-239"</f>
        <v>228-239</v>
      </c>
      <c r="F317" s="0" t="s">
        <v>336</v>
      </c>
      <c r="G317" s="0" t="s">
        <v>9</v>
      </c>
      <c r="H317" s="0" t="str">
        <f aca="false">"5-16"</f>
        <v>5-16</v>
      </c>
      <c r="I317" s="0" t="s">
        <v>9</v>
      </c>
      <c r="J317" s="0" t="str">
        <f aca="false">"376-387"</f>
        <v>376-387</v>
      </c>
      <c r="K317" s="0" t="str">
        <f aca="false">"0.81"</f>
        <v>0.81</v>
      </c>
      <c r="L317" s="0" t="str">
        <f aca="false">"7.99"</f>
        <v>7.99</v>
      </c>
      <c r="M317" s="0" t="str">
        <f aca="false">"-150.6"</f>
        <v>-150.6</v>
      </c>
    </row>
    <row r="318" customFormat="false" ht="12.8" hidden="false" customHeight="false" outlineLevel="0" collapsed="false">
      <c r="A318" s="0" t="s">
        <v>8</v>
      </c>
      <c r="B318" s="0" t="s">
        <v>9</v>
      </c>
      <c r="C318" s="0" t="str">
        <f aca="false">"134-145"</f>
        <v>134-145</v>
      </c>
      <c r="D318" s="0" t="s">
        <v>9</v>
      </c>
      <c r="E318" s="0" t="str">
        <f aca="false">"229-240"</f>
        <v>229-240</v>
      </c>
      <c r="F318" s="0" t="s">
        <v>337</v>
      </c>
      <c r="G318" s="0" t="s">
        <v>9</v>
      </c>
      <c r="H318" s="0" t="str">
        <f aca="false">"87-98"</f>
        <v>87-98</v>
      </c>
      <c r="I318" s="0" t="s">
        <v>9</v>
      </c>
      <c r="J318" s="0" t="str">
        <f aca="false">"128-139"</f>
        <v>128-139</v>
      </c>
      <c r="K318" s="0" t="str">
        <f aca="false">"0.67"</f>
        <v>0.67</v>
      </c>
      <c r="L318" s="0" t="str">
        <f aca="false">"8.39"</f>
        <v>8.39</v>
      </c>
      <c r="M318" s="0" t="str">
        <f aca="false">"-155.4"</f>
        <v>-155.4</v>
      </c>
    </row>
    <row r="319" customFormat="false" ht="12.8" hidden="false" customHeight="false" outlineLevel="0" collapsed="false">
      <c r="A319" s="0" t="s">
        <v>8</v>
      </c>
      <c r="B319" s="0" t="s">
        <v>9</v>
      </c>
      <c r="C319" s="0" t="str">
        <f aca="false">"134-145"</f>
        <v>134-145</v>
      </c>
      <c r="D319" s="0" t="s">
        <v>9</v>
      </c>
      <c r="E319" s="0" t="str">
        <f aca="false">"229-240"</f>
        <v>229-240</v>
      </c>
      <c r="F319" s="0" t="s">
        <v>338</v>
      </c>
      <c r="G319" s="0" t="s">
        <v>24</v>
      </c>
      <c r="H319" s="0" t="str">
        <f aca="false">"149-160"</f>
        <v>149-160</v>
      </c>
      <c r="I319" s="0" t="s">
        <v>24</v>
      </c>
      <c r="J319" s="0" t="str">
        <f aca="false">"186-197"</f>
        <v>186-197</v>
      </c>
      <c r="K319" s="0" t="str">
        <f aca="false">"1.00"</f>
        <v>1.00</v>
      </c>
      <c r="L319" s="0" t="str">
        <f aca="false">"8.43"</f>
        <v>8.43</v>
      </c>
      <c r="M319" s="0" t="str">
        <f aca="false">"-158.5"</f>
        <v>-158.5</v>
      </c>
    </row>
    <row r="320" customFormat="false" ht="12.8" hidden="false" customHeight="false" outlineLevel="0" collapsed="false">
      <c r="A320" s="0" t="s">
        <v>8</v>
      </c>
      <c r="B320" s="0" t="s">
        <v>9</v>
      </c>
      <c r="C320" s="0" t="str">
        <f aca="false">"135-146"</f>
        <v>135-146</v>
      </c>
      <c r="D320" s="0" t="s">
        <v>9</v>
      </c>
      <c r="E320" s="0" t="str">
        <f aca="false">"226-237"</f>
        <v>226-237</v>
      </c>
      <c r="F320" s="0" t="s">
        <v>339</v>
      </c>
      <c r="G320" s="0" t="s">
        <v>71</v>
      </c>
      <c r="H320" s="0" t="str">
        <f aca="false">"11-22"</f>
        <v>11-22</v>
      </c>
      <c r="I320" s="0" t="s">
        <v>71</v>
      </c>
      <c r="J320" s="0" t="str">
        <f aca="false">"44-55"</f>
        <v>44-55</v>
      </c>
      <c r="K320" s="0" t="str">
        <f aca="false">"0.67"</f>
        <v>0.67</v>
      </c>
      <c r="L320" s="0" t="str">
        <f aca="false">"8.53"</f>
        <v>8.53</v>
      </c>
      <c r="M320" s="0" t="str">
        <f aca="false">"-159.7"</f>
        <v>-159.7</v>
      </c>
    </row>
    <row r="321" customFormat="false" ht="12.8" hidden="false" customHeight="false" outlineLevel="0" collapsed="false">
      <c r="A321" s="0" t="s">
        <v>8</v>
      </c>
      <c r="B321" s="0" t="s">
        <v>9</v>
      </c>
      <c r="C321" s="0" t="str">
        <f aca="false">"135-146"</f>
        <v>135-146</v>
      </c>
      <c r="D321" s="0" t="s">
        <v>9</v>
      </c>
      <c r="E321" s="0" t="str">
        <f aca="false">"226-237"</f>
        <v>226-237</v>
      </c>
      <c r="F321" s="0" t="s">
        <v>340</v>
      </c>
      <c r="G321" s="0" t="s">
        <v>9</v>
      </c>
      <c r="H321" s="0" t="str">
        <f aca="false">"64-75"</f>
        <v>64-75</v>
      </c>
      <c r="I321" s="0" t="s">
        <v>9</v>
      </c>
      <c r="J321" s="0" t="str">
        <f aca="false">"34-45"</f>
        <v>34-45</v>
      </c>
      <c r="K321" s="0" t="str">
        <f aca="false">"0.70"</f>
        <v>0.70</v>
      </c>
      <c r="L321" s="0" t="str">
        <f aca="false">"8.71"</f>
        <v>8.71</v>
      </c>
      <c r="M321" s="0" t="str">
        <f aca="false">"-158.4"</f>
        <v>-158.4</v>
      </c>
    </row>
    <row r="322" customFormat="false" ht="12.8" hidden="false" customHeight="false" outlineLevel="0" collapsed="false">
      <c r="A322" s="0" t="s">
        <v>8</v>
      </c>
      <c r="B322" s="0" t="s">
        <v>9</v>
      </c>
      <c r="C322" s="0" t="str">
        <f aca="false">"131-142"</f>
        <v>131-142</v>
      </c>
      <c r="D322" s="0" t="s">
        <v>9</v>
      </c>
      <c r="E322" s="0" t="str">
        <f aca="false">"230-241"</f>
        <v>230-241</v>
      </c>
      <c r="F322" s="0" t="s">
        <v>341</v>
      </c>
      <c r="G322" s="0" t="s">
        <v>9</v>
      </c>
      <c r="H322" s="0" t="str">
        <f aca="false">"307-318"</f>
        <v>307-318</v>
      </c>
      <c r="I322" s="0" t="s">
        <v>9</v>
      </c>
      <c r="J322" s="0" t="str">
        <f aca="false">"323-334"</f>
        <v>323-334</v>
      </c>
      <c r="K322" s="0" t="str">
        <f aca="false">"0.91"</f>
        <v>0.91</v>
      </c>
      <c r="L322" s="0" t="str">
        <f aca="false">"8.40"</f>
        <v>8.40</v>
      </c>
      <c r="M322" s="0" t="str">
        <f aca="false">"-161.9"</f>
        <v>-161.9</v>
      </c>
    </row>
    <row r="323" customFormat="false" ht="12.8" hidden="false" customHeight="false" outlineLevel="0" collapsed="false">
      <c r="A323" s="0" t="s">
        <v>8</v>
      </c>
      <c r="B323" s="0" t="s">
        <v>9</v>
      </c>
      <c r="C323" s="0" t="str">
        <f aca="false">"135-146"</f>
        <v>135-146</v>
      </c>
      <c r="D323" s="0" t="s">
        <v>9</v>
      </c>
      <c r="E323" s="0" t="str">
        <f aca="false">"226-237"</f>
        <v>226-237</v>
      </c>
      <c r="F323" s="0" t="s">
        <v>342</v>
      </c>
      <c r="G323" s="0" t="s">
        <v>13</v>
      </c>
      <c r="H323" s="0" t="str">
        <f aca="false">"330-341"</f>
        <v>330-341</v>
      </c>
      <c r="I323" s="0" t="s">
        <v>13</v>
      </c>
      <c r="J323" s="0" t="str">
        <f aca="false">"280-291"</f>
        <v>280-291</v>
      </c>
      <c r="K323" s="0" t="str">
        <f aca="false">"0.92"</f>
        <v>0.92</v>
      </c>
      <c r="L323" s="0" t="str">
        <f aca="false">"8.51"</f>
        <v>8.51</v>
      </c>
      <c r="M323" s="0" t="str">
        <f aca="false">"-164.1"</f>
        <v>-164.1</v>
      </c>
    </row>
    <row r="324" customFormat="false" ht="12.8" hidden="false" customHeight="false" outlineLevel="0" collapsed="false">
      <c r="A324" s="0" t="s">
        <v>8</v>
      </c>
      <c r="B324" s="0" t="s">
        <v>9</v>
      </c>
      <c r="C324" s="0" t="str">
        <f aca="false">"131-142"</f>
        <v>131-142</v>
      </c>
      <c r="D324" s="0" t="s">
        <v>9</v>
      </c>
      <c r="E324" s="0" t="str">
        <f aca="false">"230-241"</f>
        <v>230-241</v>
      </c>
      <c r="F324" s="0" t="s">
        <v>343</v>
      </c>
      <c r="G324" s="0" t="s">
        <v>13</v>
      </c>
      <c r="H324" s="0" t="str">
        <f aca="false">"291-302"</f>
        <v>291-302</v>
      </c>
      <c r="I324" s="0" t="s">
        <v>13</v>
      </c>
      <c r="J324" s="0" t="str">
        <f aca="false">"307-318"</f>
        <v>307-318</v>
      </c>
      <c r="K324" s="0" t="str">
        <f aca="false">"0.67"</f>
        <v>0.67</v>
      </c>
      <c r="L324" s="0" t="str">
        <f aca="false">"8.77"</f>
        <v>8.77</v>
      </c>
      <c r="M324" s="0" t="str">
        <f aca="false">"-157.2"</f>
        <v>-157.2</v>
      </c>
    </row>
    <row r="325" customFormat="false" ht="12.8" hidden="false" customHeight="false" outlineLevel="0" collapsed="false">
      <c r="A325" s="0" t="s">
        <v>8</v>
      </c>
      <c r="B325" s="0" t="s">
        <v>9</v>
      </c>
      <c r="C325" s="0" t="str">
        <f aca="false">"134-145"</f>
        <v>134-145</v>
      </c>
      <c r="D325" s="0" t="s">
        <v>9</v>
      </c>
      <c r="E325" s="0" t="str">
        <f aca="false">"229-240"</f>
        <v>229-240</v>
      </c>
      <c r="F325" s="0" t="s">
        <v>344</v>
      </c>
      <c r="G325" s="0" t="s">
        <v>9</v>
      </c>
      <c r="H325" s="0" t="str">
        <f aca="false">"136-147"</f>
        <v>136-147</v>
      </c>
      <c r="I325" s="0" t="s">
        <v>9</v>
      </c>
      <c r="J325" s="0" t="str">
        <f aca="false">"103-114"</f>
        <v>103-114</v>
      </c>
      <c r="K325" s="0" t="str">
        <f aca="false">"0.88"</f>
        <v>0.88</v>
      </c>
      <c r="L325" s="0" t="str">
        <f aca="false">"8.10"</f>
        <v>8.10</v>
      </c>
      <c r="M325" s="0" t="str">
        <f aca="false">"-156.8"</f>
        <v>-156.8</v>
      </c>
    </row>
    <row r="326" customFormat="false" ht="12.8" hidden="false" customHeight="false" outlineLevel="0" collapsed="false">
      <c r="A326" s="0" t="s">
        <v>8</v>
      </c>
      <c r="B326" s="0" t="s">
        <v>9</v>
      </c>
      <c r="C326" s="0" t="str">
        <f aca="false">"131-142"</f>
        <v>131-142</v>
      </c>
      <c r="D326" s="0" t="s">
        <v>9</v>
      </c>
      <c r="E326" s="0" t="str">
        <f aca="false">"230-241"</f>
        <v>230-241</v>
      </c>
      <c r="F326" s="0" t="s">
        <v>345</v>
      </c>
      <c r="G326" s="0" t="s">
        <v>9</v>
      </c>
      <c r="H326" s="0" t="str">
        <f aca="false">"273-284"</f>
        <v>273-284</v>
      </c>
      <c r="I326" s="0" t="s">
        <v>9</v>
      </c>
      <c r="J326" s="0" t="str">
        <f aca="false">"289-300"</f>
        <v>289-300</v>
      </c>
      <c r="K326" s="0" t="str">
        <f aca="false">"0.70"</f>
        <v>0.70</v>
      </c>
      <c r="L326" s="0" t="str">
        <f aca="false">"8.85"</f>
        <v>8.85</v>
      </c>
      <c r="M326" s="0" t="str">
        <f aca="false">"-161.9"</f>
        <v>-161.9</v>
      </c>
    </row>
    <row r="327" customFormat="false" ht="12.8" hidden="false" customHeight="false" outlineLevel="0" collapsed="false">
      <c r="A327" s="0" t="s">
        <v>8</v>
      </c>
      <c r="B327" s="0" t="s">
        <v>9</v>
      </c>
      <c r="C327" s="0" t="str">
        <f aca="false">"131-142"</f>
        <v>131-142</v>
      </c>
      <c r="D327" s="0" t="s">
        <v>9</v>
      </c>
      <c r="E327" s="0" t="str">
        <f aca="false">"230-241"</f>
        <v>230-241</v>
      </c>
      <c r="F327" s="0" t="s">
        <v>346</v>
      </c>
      <c r="G327" s="0" t="s">
        <v>9</v>
      </c>
      <c r="H327" s="0" t="str">
        <f aca="false">"202-213"</f>
        <v>202-213</v>
      </c>
      <c r="I327" s="0" t="s">
        <v>9</v>
      </c>
      <c r="J327" s="0" t="str">
        <f aca="false">"218-229"</f>
        <v>218-229</v>
      </c>
      <c r="K327" s="0" t="str">
        <f aca="false">"0.73"</f>
        <v>0.73</v>
      </c>
      <c r="L327" s="0" t="str">
        <f aca="false">"8.76"</f>
        <v>8.76</v>
      </c>
      <c r="M327" s="0" t="str">
        <f aca="false">"-157.7"</f>
        <v>-157.7</v>
      </c>
    </row>
    <row r="328" customFormat="false" ht="12.8" hidden="false" customHeight="false" outlineLevel="0" collapsed="false">
      <c r="A328" s="0" t="s">
        <v>8</v>
      </c>
      <c r="B328" s="0" t="s">
        <v>9</v>
      </c>
      <c r="C328" s="0" t="str">
        <f aca="false">"134-145"</f>
        <v>134-145</v>
      </c>
      <c r="D328" s="0" t="s">
        <v>9</v>
      </c>
      <c r="E328" s="0" t="str">
        <f aca="false">"229-240"</f>
        <v>229-240</v>
      </c>
      <c r="F328" s="0" t="s">
        <v>347</v>
      </c>
      <c r="G328" s="0" t="s">
        <v>13</v>
      </c>
      <c r="H328" s="0" t="str">
        <f aca="false">"75-86"</f>
        <v>75-86</v>
      </c>
      <c r="I328" s="0" t="s">
        <v>13</v>
      </c>
      <c r="J328" s="0" t="str">
        <f aca="false">"46-57"</f>
        <v>46-57</v>
      </c>
      <c r="K328" s="0" t="str">
        <f aca="false">"0.91"</f>
        <v>0.91</v>
      </c>
      <c r="L328" s="0" t="str">
        <f aca="false">"8.40"</f>
        <v>8.40</v>
      </c>
      <c r="M328" s="0" t="str">
        <f aca="false">"-161.4"</f>
        <v>-161.4</v>
      </c>
    </row>
    <row r="329" customFormat="false" ht="12.8" hidden="false" customHeight="false" outlineLevel="0" collapsed="false">
      <c r="A329" s="0" t="s">
        <v>8</v>
      </c>
      <c r="B329" s="0" t="s">
        <v>9</v>
      </c>
      <c r="C329" s="0" t="str">
        <f aca="false">"134-145"</f>
        <v>134-145</v>
      </c>
      <c r="D329" s="0" t="s">
        <v>9</v>
      </c>
      <c r="E329" s="0" t="str">
        <f aca="false">"229-240"</f>
        <v>229-240</v>
      </c>
      <c r="F329" s="0" t="s">
        <v>348</v>
      </c>
      <c r="G329" s="0" t="s">
        <v>9</v>
      </c>
      <c r="H329" s="0" t="str">
        <f aca="false">"105-116"</f>
        <v>105-116</v>
      </c>
      <c r="I329" s="0" t="s">
        <v>9</v>
      </c>
      <c r="J329" s="0" t="str">
        <f aca="false">"124-135"</f>
        <v>124-135</v>
      </c>
      <c r="K329" s="0" t="str">
        <f aca="false">"0.70"</f>
        <v>0.70</v>
      </c>
      <c r="L329" s="0" t="str">
        <f aca="false">"8.37"</f>
        <v>8.37</v>
      </c>
      <c r="M329" s="0" t="str">
        <f aca="false">"-164.7"</f>
        <v>-164.7</v>
      </c>
    </row>
    <row r="330" customFormat="false" ht="12.8" hidden="false" customHeight="false" outlineLevel="0" collapsed="false">
      <c r="A330" s="0" t="s">
        <v>8</v>
      </c>
      <c r="B330" s="0" t="s">
        <v>9</v>
      </c>
      <c r="C330" s="0" t="str">
        <f aca="false">"134-145"</f>
        <v>134-145</v>
      </c>
      <c r="D330" s="0" t="s">
        <v>9</v>
      </c>
      <c r="E330" s="0" t="str">
        <f aca="false">"226-237"</f>
        <v>226-237</v>
      </c>
      <c r="F330" s="0" t="s">
        <v>349</v>
      </c>
      <c r="G330" s="0" t="s">
        <v>13</v>
      </c>
      <c r="H330" s="0" t="str">
        <f aca="false">"94-105"</f>
        <v>94-105</v>
      </c>
      <c r="I330" s="0" t="s">
        <v>9</v>
      </c>
      <c r="J330" s="0" t="str">
        <f aca="false">"90-101"</f>
        <v>90-101</v>
      </c>
      <c r="K330" s="0" t="str">
        <f aca="false">"0.87"</f>
        <v>0.87</v>
      </c>
      <c r="L330" s="0" t="str">
        <f aca="false">"9.37"</f>
        <v>9.37</v>
      </c>
      <c r="M330" s="0" t="str">
        <f aca="false">"-167.5"</f>
        <v>-167.5</v>
      </c>
    </row>
    <row r="331" customFormat="false" ht="12.8" hidden="false" customHeight="false" outlineLevel="0" collapsed="false">
      <c r="A331" s="0" t="s">
        <v>8</v>
      </c>
      <c r="B331" s="0" t="s">
        <v>9</v>
      </c>
      <c r="C331" s="0" t="str">
        <f aca="false">"131-142"</f>
        <v>131-142</v>
      </c>
      <c r="D331" s="0" t="s">
        <v>9</v>
      </c>
      <c r="E331" s="0" t="str">
        <f aca="false">"230-241"</f>
        <v>230-241</v>
      </c>
      <c r="F331" s="0" t="s">
        <v>350</v>
      </c>
      <c r="G331" s="0" t="s">
        <v>9</v>
      </c>
      <c r="H331" s="0" t="str">
        <f aca="false">"72-83"</f>
        <v>72-83</v>
      </c>
      <c r="I331" s="0" t="s">
        <v>9</v>
      </c>
      <c r="J331" s="0" t="str">
        <f aca="false">"88-99"</f>
        <v>88-99</v>
      </c>
      <c r="K331" s="0" t="str">
        <f aca="false">"1.13"</f>
        <v>1.13</v>
      </c>
      <c r="L331" s="0" t="str">
        <f aca="false">"8.79"</f>
        <v>8.79</v>
      </c>
      <c r="M331" s="0" t="str">
        <f aca="false">"-174.9"</f>
        <v>-174.9</v>
      </c>
    </row>
    <row r="332" customFormat="false" ht="12.8" hidden="false" customHeight="false" outlineLevel="0" collapsed="false">
      <c r="A332" s="0" t="s">
        <v>8</v>
      </c>
      <c r="B332" s="0" t="s">
        <v>9</v>
      </c>
      <c r="C332" s="0" t="str">
        <f aca="false">"134-145"</f>
        <v>134-145</v>
      </c>
      <c r="D332" s="0" t="s">
        <v>9</v>
      </c>
      <c r="E332" s="0" t="str">
        <f aca="false">"229-240"</f>
        <v>229-240</v>
      </c>
      <c r="F332" s="0" t="s">
        <v>351</v>
      </c>
      <c r="G332" s="0" t="s">
        <v>9</v>
      </c>
      <c r="H332" s="0" t="str">
        <f aca="false">"282-293"</f>
        <v>282-293</v>
      </c>
      <c r="I332" s="0" t="s">
        <v>9</v>
      </c>
      <c r="J332" s="0" t="str">
        <f aca="false">"306-317"</f>
        <v>306-317</v>
      </c>
      <c r="K332" s="0" t="str">
        <f aca="false">"0.71"</f>
        <v>0.71</v>
      </c>
      <c r="L332" s="0" t="str">
        <f aca="false">"8.74"</f>
        <v>8.74</v>
      </c>
      <c r="M332" s="0" t="str">
        <f aca="false">"-157.0"</f>
        <v>-157.0</v>
      </c>
    </row>
    <row r="333" customFormat="false" ht="12.8" hidden="false" customHeight="false" outlineLevel="0" collapsed="false">
      <c r="A333" s="0" t="s">
        <v>8</v>
      </c>
      <c r="B333" s="0" t="s">
        <v>9</v>
      </c>
      <c r="C333" s="0" t="str">
        <f aca="false">"134-145"</f>
        <v>134-145</v>
      </c>
      <c r="D333" s="0" t="s">
        <v>9</v>
      </c>
      <c r="E333" s="0" t="str">
        <f aca="false">"229-240"</f>
        <v>229-240</v>
      </c>
      <c r="F333" s="0" t="s">
        <v>352</v>
      </c>
      <c r="G333" s="0" t="s">
        <v>120</v>
      </c>
      <c r="H333" s="0" t="str">
        <f aca="false">"11-22"</f>
        <v>11-22</v>
      </c>
      <c r="I333" s="0" t="s">
        <v>120</v>
      </c>
      <c r="J333" s="0" t="str">
        <f aca="false">"51-62"</f>
        <v>51-62</v>
      </c>
      <c r="K333" s="0" t="str">
        <f aca="false">"0.53"</f>
        <v>0.53</v>
      </c>
      <c r="L333" s="0" t="str">
        <f aca="false">"8.95"</f>
        <v>8.95</v>
      </c>
      <c r="M333" s="0" t="str">
        <f aca="false">"-155.8"</f>
        <v>-155.8</v>
      </c>
    </row>
    <row r="334" customFormat="false" ht="12.8" hidden="false" customHeight="false" outlineLevel="0" collapsed="false">
      <c r="A334" s="0" t="s">
        <v>8</v>
      </c>
      <c r="B334" s="0" t="s">
        <v>9</v>
      </c>
      <c r="C334" s="0" t="str">
        <f aca="false">"134-145"</f>
        <v>134-145</v>
      </c>
      <c r="D334" s="0" t="s">
        <v>9</v>
      </c>
      <c r="E334" s="0" t="str">
        <f aca="false">"226-237"</f>
        <v>226-237</v>
      </c>
      <c r="F334" s="0" t="s">
        <v>353</v>
      </c>
      <c r="G334" s="0" t="s">
        <v>9</v>
      </c>
      <c r="H334" s="0" t="str">
        <f aca="false">"152-163"</f>
        <v>152-163</v>
      </c>
      <c r="I334" s="0" t="s">
        <v>9</v>
      </c>
      <c r="J334" s="0" t="str">
        <f aca="false">"95-106"</f>
        <v>95-106</v>
      </c>
      <c r="K334" s="0" t="str">
        <f aca="false">"0.88"</f>
        <v>0.88</v>
      </c>
      <c r="L334" s="0" t="str">
        <f aca="false">"9.14"</f>
        <v>9.14</v>
      </c>
      <c r="M334" s="0" t="str">
        <f aca="false">"-162.9"</f>
        <v>-162.9</v>
      </c>
    </row>
    <row r="335" customFormat="false" ht="12.8" hidden="false" customHeight="false" outlineLevel="0" collapsed="false">
      <c r="A335" s="0" t="s">
        <v>8</v>
      </c>
      <c r="B335" s="0" t="s">
        <v>9</v>
      </c>
      <c r="C335" s="0" t="str">
        <f aca="false">"131-142"</f>
        <v>131-142</v>
      </c>
      <c r="D335" s="0" t="s">
        <v>9</v>
      </c>
      <c r="E335" s="0" t="str">
        <f aca="false">"230-241"</f>
        <v>230-241</v>
      </c>
      <c r="F335" s="0" t="s">
        <v>354</v>
      </c>
      <c r="G335" s="0" t="s">
        <v>13</v>
      </c>
      <c r="H335" s="0" t="str">
        <f aca="false">"91-102"</f>
        <v>91-102</v>
      </c>
      <c r="I335" s="0" t="s">
        <v>13</v>
      </c>
      <c r="J335" s="0" t="str">
        <f aca="false">"107-118"</f>
        <v>107-118</v>
      </c>
      <c r="K335" s="0" t="str">
        <f aca="false">"0.86"</f>
        <v>0.86</v>
      </c>
      <c r="L335" s="0" t="str">
        <f aca="false">"8.91"</f>
        <v>8.91</v>
      </c>
      <c r="M335" s="0" t="str">
        <f aca="false">"-167.7"</f>
        <v>-167.7</v>
      </c>
    </row>
    <row r="336" customFormat="false" ht="12.8" hidden="false" customHeight="false" outlineLevel="0" collapsed="false">
      <c r="A336" s="0" t="s">
        <v>8</v>
      </c>
      <c r="B336" s="0" t="s">
        <v>9</v>
      </c>
      <c r="C336" s="0" t="str">
        <f aca="false">"135-146"</f>
        <v>135-146</v>
      </c>
      <c r="D336" s="0" t="s">
        <v>9</v>
      </c>
      <c r="E336" s="0" t="str">
        <f aca="false">"226-237"</f>
        <v>226-237</v>
      </c>
      <c r="F336" s="0" t="s">
        <v>355</v>
      </c>
      <c r="G336" s="0" t="s">
        <v>13</v>
      </c>
      <c r="H336" s="0" t="str">
        <f aca="false">"19-30"</f>
        <v>19-30</v>
      </c>
      <c r="I336" s="0" t="s">
        <v>13</v>
      </c>
      <c r="J336" s="0" t="str">
        <f aca="false">"3-14"</f>
        <v>3-14</v>
      </c>
      <c r="K336" s="0" t="str">
        <f aca="false">"0.82"</f>
        <v>0.82</v>
      </c>
      <c r="L336" s="0" t="str">
        <f aca="false">"8.63"</f>
        <v>8.63</v>
      </c>
      <c r="M336" s="0" t="str">
        <f aca="false">"-161.0"</f>
        <v>-161.0</v>
      </c>
    </row>
    <row r="337" customFormat="false" ht="12.8" hidden="false" customHeight="false" outlineLevel="0" collapsed="false">
      <c r="A337" s="0" t="s">
        <v>8</v>
      </c>
      <c r="B337" s="0" t="s">
        <v>9</v>
      </c>
      <c r="C337" s="0" t="str">
        <f aca="false">"134-145"</f>
        <v>134-145</v>
      </c>
      <c r="D337" s="0" t="s">
        <v>9</v>
      </c>
      <c r="E337" s="0" t="str">
        <f aca="false">"226-237"</f>
        <v>226-237</v>
      </c>
      <c r="F337" s="0" t="s">
        <v>356</v>
      </c>
      <c r="G337" s="0" t="s">
        <v>9</v>
      </c>
      <c r="H337" s="0" t="str">
        <f aca="false">"116-127"</f>
        <v>116-127</v>
      </c>
      <c r="I337" s="0" t="s">
        <v>9</v>
      </c>
      <c r="J337" s="0" t="str">
        <f aca="false">"73-84"</f>
        <v>73-84</v>
      </c>
      <c r="K337" s="0" t="str">
        <f aca="false">"0.87"</f>
        <v>0.87</v>
      </c>
      <c r="L337" s="0" t="str">
        <f aca="false">"9.00"</f>
        <v>9.00</v>
      </c>
      <c r="M337" s="0" t="str">
        <f aca="false">"-152.7"</f>
        <v>-152.7</v>
      </c>
    </row>
    <row r="338" customFormat="false" ht="12.8" hidden="false" customHeight="false" outlineLevel="0" collapsed="false">
      <c r="A338" s="0" t="s">
        <v>8</v>
      </c>
      <c r="B338" s="0" t="s">
        <v>9</v>
      </c>
      <c r="C338" s="0" t="str">
        <f aca="false">"131-142"</f>
        <v>131-142</v>
      </c>
      <c r="D338" s="0" t="s">
        <v>9</v>
      </c>
      <c r="E338" s="0" t="str">
        <f aca="false">"230-241"</f>
        <v>230-241</v>
      </c>
      <c r="F338" s="0" t="s">
        <v>357</v>
      </c>
      <c r="G338" s="0" t="s">
        <v>9</v>
      </c>
      <c r="H338" s="0" t="str">
        <f aca="false">"74-85"</f>
        <v>74-85</v>
      </c>
      <c r="I338" s="0" t="s">
        <v>9</v>
      </c>
      <c r="J338" s="0" t="str">
        <f aca="false">"90-101"</f>
        <v>90-101</v>
      </c>
      <c r="K338" s="0" t="str">
        <f aca="false">"0.77"</f>
        <v>0.77</v>
      </c>
      <c r="L338" s="0" t="str">
        <f aca="false">"8.65"</f>
        <v>8.65</v>
      </c>
      <c r="M338" s="0" t="str">
        <f aca="false">"-156.0"</f>
        <v>-156.0</v>
      </c>
    </row>
    <row r="339" customFormat="false" ht="12.8" hidden="false" customHeight="false" outlineLevel="0" collapsed="false">
      <c r="A339" s="0" t="s">
        <v>8</v>
      </c>
      <c r="B339" s="0" t="s">
        <v>9</v>
      </c>
      <c r="C339" s="0" t="str">
        <f aca="false">"134-145"</f>
        <v>134-145</v>
      </c>
      <c r="D339" s="0" t="s">
        <v>9</v>
      </c>
      <c r="E339" s="0" t="str">
        <f aca="false">"229-240"</f>
        <v>229-240</v>
      </c>
      <c r="F339" s="0" t="s">
        <v>358</v>
      </c>
      <c r="G339" s="0" t="s">
        <v>9</v>
      </c>
      <c r="H339" s="0" t="str">
        <f aca="false">"70-81"</f>
        <v>70-81</v>
      </c>
      <c r="I339" s="0" t="s">
        <v>9</v>
      </c>
      <c r="J339" s="0" t="str">
        <f aca="false">"108-119"</f>
        <v>108-119</v>
      </c>
      <c r="K339" s="0" t="str">
        <f aca="false">"0.94"</f>
        <v>0.94</v>
      </c>
      <c r="L339" s="0" t="str">
        <f aca="false">"8.74"</f>
        <v>8.74</v>
      </c>
      <c r="M339" s="0" t="str">
        <f aca="false">"-155.5"</f>
        <v>-155.5</v>
      </c>
    </row>
    <row r="340" customFormat="false" ht="12.8" hidden="false" customHeight="false" outlineLevel="0" collapsed="false">
      <c r="A340" s="0" t="s">
        <v>8</v>
      </c>
      <c r="B340" s="0" t="s">
        <v>9</v>
      </c>
      <c r="C340" s="0" t="str">
        <f aca="false">"134-145"</f>
        <v>134-145</v>
      </c>
      <c r="D340" s="0" t="s">
        <v>9</v>
      </c>
      <c r="E340" s="0" t="str">
        <f aca="false">"229-240"</f>
        <v>229-240</v>
      </c>
      <c r="F340" s="0" t="s">
        <v>359</v>
      </c>
      <c r="G340" s="0" t="s">
        <v>9</v>
      </c>
      <c r="H340" s="0" t="str">
        <f aca="false">"307-318"</f>
        <v>307-318</v>
      </c>
      <c r="I340" s="0" t="s">
        <v>9</v>
      </c>
      <c r="J340" s="0" t="str">
        <f aca="false">"327-338"</f>
        <v>327-338</v>
      </c>
      <c r="K340" s="0" t="str">
        <f aca="false">"1.00"</f>
        <v>1.00</v>
      </c>
      <c r="L340" s="0" t="str">
        <f aca="false">"8.68"</f>
        <v>8.68</v>
      </c>
      <c r="M340" s="0" t="str">
        <f aca="false">"-156.3"</f>
        <v>-156.3</v>
      </c>
    </row>
    <row r="341" customFormat="false" ht="12.8" hidden="false" customHeight="false" outlineLevel="0" collapsed="false">
      <c r="A341" s="0" t="s">
        <v>8</v>
      </c>
      <c r="B341" s="0" t="s">
        <v>9</v>
      </c>
      <c r="C341" s="0" t="str">
        <f aca="false">"134-145"</f>
        <v>134-145</v>
      </c>
      <c r="D341" s="0" t="s">
        <v>9</v>
      </c>
      <c r="E341" s="0" t="str">
        <f aca="false">"229-240"</f>
        <v>229-240</v>
      </c>
      <c r="F341" s="0" t="s">
        <v>360</v>
      </c>
      <c r="G341" s="0" t="s">
        <v>13</v>
      </c>
      <c r="H341" s="0" t="str">
        <f aca="false">"164-175"</f>
        <v>164-175</v>
      </c>
      <c r="I341" s="0" t="s">
        <v>13</v>
      </c>
      <c r="J341" s="0" t="str">
        <f aca="false">"201-212"</f>
        <v>201-212</v>
      </c>
      <c r="K341" s="0" t="str">
        <f aca="false">"0.54"</f>
        <v>0.54</v>
      </c>
      <c r="L341" s="0" t="str">
        <f aca="false">"8.98"</f>
        <v>8.98</v>
      </c>
      <c r="M341" s="0" t="str">
        <f aca="false">"-153.4"</f>
        <v>-153.4</v>
      </c>
    </row>
    <row r="342" customFormat="false" ht="12.8" hidden="false" customHeight="false" outlineLevel="0" collapsed="false">
      <c r="A342" s="0" t="s">
        <v>8</v>
      </c>
      <c r="B342" s="0" t="s">
        <v>9</v>
      </c>
      <c r="C342" s="0" t="str">
        <f aca="false">"137-148"</f>
        <v>137-148</v>
      </c>
      <c r="D342" s="0" t="s">
        <v>9</v>
      </c>
      <c r="E342" s="0" t="str">
        <f aca="false">"225-236"</f>
        <v>225-236</v>
      </c>
      <c r="F342" s="0" t="s">
        <v>361</v>
      </c>
      <c r="G342" s="0" t="s">
        <v>9</v>
      </c>
      <c r="H342" s="0" t="str">
        <f aca="false">"176-187"</f>
        <v>176-187</v>
      </c>
      <c r="I342" s="0" t="s">
        <v>9</v>
      </c>
      <c r="J342" s="0" t="str">
        <f aca="false">"195-206"</f>
        <v>195-206</v>
      </c>
      <c r="K342" s="0" t="str">
        <f aca="false">"1.22"</f>
        <v>1.22</v>
      </c>
      <c r="L342" s="0" t="str">
        <f aca="false">"8.11"</f>
        <v>8.11</v>
      </c>
      <c r="M342" s="0" t="str">
        <f aca="false">"-158.2"</f>
        <v>-158.2</v>
      </c>
    </row>
    <row r="343" customFormat="false" ht="12.8" hidden="false" customHeight="false" outlineLevel="0" collapsed="false">
      <c r="A343" s="0" t="s">
        <v>8</v>
      </c>
      <c r="B343" s="0" t="s">
        <v>9</v>
      </c>
      <c r="C343" s="0" t="str">
        <f aca="false">"134-145"</f>
        <v>134-145</v>
      </c>
      <c r="D343" s="0" t="s">
        <v>9</v>
      </c>
      <c r="E343" s="0" t="str">
        <f aca="false">"229-240"</f>
        <v>229-240</v>
      </c>
      <c r="F343" s="0" t="s">
        <v>362</v>
      </c>
      <c r="G343" s="0" t="s">
        <v>9</v>
      </c>
      <c r="H343" s="0" t="str">
        <f aca="false">"288-299"</f>
        <v>288-299</v>
      </c>
      <c r="I343" s="0" t="s">
        <v>9</v>
      </c>
      <c r="J343" s="0" t="str">
        <f aca="false">"340-351"</f>
        <v>340-351</v>
      </c>
      <c r="K343" s="0" t="str">
        <f aca="false">"0.81"</f>
        <v>0.81</v>
      </c>
      <c r="L343" s="0" t="str">
        <f aca="false">"8.99"</f>
        <v>8.99</v>
      </c>
      <c r="M343" s="0" t="str">
        <f aca="false">"-157.3"</f>
        <v>-157.3</v>
      </c>
    </row>
    <row r="344" customFormat="false" ht="12.8" hidden="false" customHeight="false" outlineLevel="0" collapsed="false">
      <c r="A344" s="0" t="s">
        <v>8</v>
      </c>
      <c r="B344" s="0" t="s">
        <v>9</v>
      </c>
      <c r="C344" s="0" t="str">
        <f aca="false">"134-145"</f>
        <v>134-145</v>
      </c>
      <c r="D344" s="0" t="s">
        <v>9</v>
      </c>
      <c r="E344" s="0" t="str">
        <f aca="false">"229-240"</f>
        <v>229-240</v>
      </c>
      <c r="F344" s="0" t="s">
        <v>363</v>
      </c>
      <c r="G344" s="0" t="s">
        <v>9</v>
      </c>
      <c r="H344" s="0" t="str">
        <f aca="false">"100-111"</f>
        <v>100-111</v>
      </c>
      <c r="I344" s="0" t="s">
        <v>9</v>
      </c>
      <c r="J344" s="0" t="str">
        <f aca="false">"135-146"</f>
        <v>135-146</v>
      </c>
      <c r="K344" s="0" t="str">
        <f aca="false">"0.57"</f>
        <v>0.57</v>
      </c>
      <c r="L344" s="0" t="str">
        <f aca="false">"9.10"</f>
        <v>9.10</v>
      </c>
      <c r="M344" s="0" t="str">
        <f aca="false">"-162.8"</f>
        <v>-162.8</v>
      </c>
    </row>
    <row r="345" customFormat="false" ht="12.8" hidden="false" customHeight="false" outlineLevel="0" collapsed="false">
      <c r="A345" s="0" t="s">
        <v>8</v>
      </c>
      <c r="B345" s="0" t="s">
        <v>9</v>
      </c>
      <c r="C345" s="0" t="str">
        <f aca="false">"131-142"</f>
        <v>131-142</v>
      </c>
      <c r="D345" s="0" t="s">
        <v>9</v>
      </c>
      <c r="E345" s="0" t="str">
        <f aca="false">"230-241"</f>
        <v>230-241</v>
      </c>
      <c r="F345" s="0" t="s">
        <v>364</v>
      </c>
      <c r="G345" s="0" t="s">
        <v>9</v>
      </c>
      <c r="H345" s="0" t="str">
        <f aca="false">"55-66"</f>
        <v>55-66</v>
      </c>
      <c r="I345" s="0" t="s">
        <v>9</v>
      </c>
      <c r="J345" s="0" t="str">
        <f aca="false">"71-82"</f>
        <v>71-82</v>
      </c>
      <c r="K345" s="0" t="str">
        <f aca="false">"0.69"</f>
        <v>0.69</v>
      </c>
      <c r="L345" s="0" t="str">
        <f aca="false">"9.16"</f>
        <v>9.16</v>
      </c>
      <c r="M345" s="0" t="str">
        <f aca="false">"-160.7"</f>
        <v>-160.7</v>
      </c>
    </row>
    <row r="346" customFormat="false" ht="12.8" hidden="false" customHeight="false" outlineLevel="0" collapsed="false">
      <c r="A346" s="0" t="s">
        <v>8</v>
      </c>
      <c r="B346" s="0" t="s">
        <v>9</v>
      </c>
      <c r="C346" s="0" t="str">
        <f aca="false">"134-145"</f>
        <v>134-145</v>
      </c>
      <c r="D346" s="0" t="s">
        <v>9</v>
      </c>
      <c r="E346" s="0" t="str">
        <f aca="false">"229-240"</f>
        <v>229-240</v>
      </c>
      <c r="F346" s="0" t="s">
        <v>365</v>
      </c>
      <c r="G346" s="0" t="s">
        <v>13</v>
      </c>
      <c r="H346" s="0" t="str">
        <f aca="false">"279-290"</f>
        <v>279-290</v>
      </c>
      <c r="I346" s="0" t="s">
        <v>13</v>
      </c>
      <c r="J346" s="0" t="str">
        <f aca="false">"329-340"</f>
        <v>329-340</v>
      </c>
      <c r="K346" s="0" t="str">
        <f aca="false">"0.97"</f>
        <v>0.97</v>
      </c>
      <c r="L346" s="0" t="str">
        <f aca="false">"8.98"</f>
        <v>8.98</v>
      </c>
      <c r="M346" s="0" t="str">
        <f aca="false">"-162.8"</f>
        <v>-162.8</v>
      </c>
    </row>
    <row r="347" customFormat="false" ht="12.8" hidden="false" customHeight="false" outlineLevel="0" collapsed="false">
      <c r="A347" s="0" t="s">
        <v>8</v>
      </c>
      <c r="B347" s="0" t="s">
        <v>9</v>
      </c>
      <c r="C347" s="0" t="str">
        <f aca="false">"131-142"</f>
        <v>131-142</v>
      </c>
      <c r="D347" s="0" t="s">
        <v>9</v>
      </c>
      <c r="E347" s="0" t="str">
        <f aca="false">"230-241"</f>
        <v>230-241</v>
      </c>
      <c r="F347" s="0" t="s">
        <v>366</v>
      </c>
      <c r="G347" s="0" t="s">
        <v>9</v>
      </c>
      <c r="H347" s="0" t="str">
        <f aca="false">"30-41"</f>
        <v>30-41</v>
      </c>
      <c r="I347" s="0" t="s">
        <v>9</v>
      </c>
      <c r="J347" s="0" t="str">
        <f aca="false">"46-57"</f>
        <v>46-57</v>
      </c>
      <c r="K347" s="0" t="str">
        <f aca="false">"1.10"</f>
        <v>1.10</v>
      </c>
      <c r="L347" s="0" t="str">
        <f aca="false">"8.62"</f>
        <v>8.62</v>
      </c>
      <c r="M347" s="0" t="str">
        <f aca="false">"-169.6"</f>
        <v>-169.6</v>
      </c>
    </row>
    <row r="348" customFormat="false" ht="12.8" hidden="false" customHeight="false" outlineLevel="0" collapsed="false">
      <c r="A348" s="0" t="s">
        <v>8</v>
      </c>
      <c r="B348" s="0" t="s">
        <v>9</v>
      </c>
      <c r="C348" s="0" t="str">
        <f aca="false">"134-145"</f>
        <v>134-145</v>
      </c>
      <c r="D348" s="0" t="s">
        <v>9</v>
      </c>
      <c r="E348" s="0" t="str">
        <f aca="false">"229-240"</f>
        <v>229-240</v>
      </c>
      <c r="F348" s="0" t="s">
        <v>367</v>
      </c>
      <c r="G348" s="0" t="s">
        <v>13</v>
      </c>
      <c r="H348" s="0" t="str">
        <f aca="false">"166-177"</f>
        <v>166-177</v>
      </c>
      <c r="I348" s="0" t="s">
        <v>13</v>
      </c>
      <c r="J348" s="0" t="str">
        <f aca="false">"185-196"</f>
        <v>185-196</v>
      </c>
      <c r="K348" s="0" t="str">
        <f aca="false">"0.81"</f>
        <v>0.81</v>
      </c>
      <c r="L348" s="0" t="str">
        <f aca="false">"8.29"</f>
        <v>8.29</v>
      </c>
      <c r="M348" s="0" t="str">
        <f aca="false">"-163.4"</f>
        <v>-163.4</v>
      </c>
    </row>
    <row r="349" customFormat="false" ht="12.8" hidden="false" customHeight="false" outlineLevel="0" collapsed="false">
      <c r="A349" s="0" t="s">
        <v>8</v>
      </c>
      <c r="B349" s="0" t="s">
        <v>9</v>
      </c>
      <c r="C349" s="0" t="str">
        <f aca="false">"131-142"</f>
        <v>131-142</v>
      </c>
      <c r="D349" s="0" t="s">
        <v>9</v>
      </c>
      <c r="E349" s="0" t="str">
        <f aca="false">"230-241"</f>
        <v>230-241</v>
      </c>
      <c r="F349" s="0" t="s">
        <v>368</v>
      </c>
      <c r="G349" s="0" t="s">
        <v>13</v>
      </c>
      <c r="H349" s="0" t="str">
        <f aca="false">"168-179"</f>
        <v>168-179</v>
      </c>
      <c r="I349" s="0" t="s">
        <v>13</v>
      </c>
      <c r="J349" s="0" t="str">
        <f aca="false">"185-196"</f>
        <v>185-196</v>
      </c>
      <c r="K349" s="0" t="str">
        <f aca="false">"1.03"</f>
        <v>1.03</v>
      </c>
      <c r="L349" s="0" t="str">
        <f aca="false">"8.95"</f>
        <v>8.95</v>
      </c>
      <c r="M349" s="0" t="str">
        <f aca="false">"-164.9"</f>
        <v>-164.9</v>
      </c>
    </row>
    <row r="350" customFormat="false" ht="12.8" hidden="false" customHeight="false" outlineLevel="0" collapsed="false">
      <c r="A350" s="0" t="s">
        <v>8</v>
      </c>
      <c r="B350" s="0" t="s">
        <v>9</v>
      </c>
      <c r="C350" s="0" t="str">
        <f aca="false">"134-145"</f>
        <v>134-145</v>
      </c>
      <c r="D350" s="0" t="s">
        <v>9</v>
      </c>
      <c r="E350" s="0" t="str">
        <f aca="false">"229-240"</f>
        <v>229-240</v>
      </c>
      <c r="F350" s="0" t="s">
        <v>369</v>
      </c>
      <c r="G350" s="0" t="s">
        <v>120</v>
      </c>
      <c r="H350" s="0" t="str">
        <f aca="false">"106-117"</f>
        <v>106-117</v>
      </c>
      <c r="I350" s="0" t="s">
        <v>120</v>
      </c>
      <c r="J350" s="0" t="str">
        <f aca="false">"73-84"</f>
        <v>73-84</v>
      </c>
      <c r="K350" s="0" t="str">
        <f aca="false">"0.82"</f>
        <v>0.82</v>
      </c>
      <c r="L350" s="0" t="str">
        <f aca="false">"8.74"</f>
        <v>8.74</v>
      </c>
      <c r="M350" s="0" t="str">
        <f aca="false">"-159.2"</f>
        <v>-159.2</v>
      </c>
    </row>
    <row r="351" customFormat="false" ht="12.8" hidden="false" customHeight="false" outlineLevel="0" collapsed="false">
      <c r="A351" s="0" t="s">
        <v>8</v>
      </c>
      <c r="B351" s="0" t="s">
        <v>9</v>
      </c>
      <c r="C351" s="0" t="str">
        <f aca="false">"137-148"</f>
        <v>137-148</v>
      </c>
      <c r="D351" s="0" t="s">
        <v>9</v>
      </c>
      <c r="E351" s="0" t="str">
        <f aca="false">"225-236"</f>
        <v>225-236</v>
      </c>
      <c r="F351" s="0" t="s">
        <v>370</v>
      </c>
      <c r="G351" s="0" t="s">
        <v>13</v>
      </c>
      <c r="H351" s="0" t="str">
        <f aca="false">"120-131"</f>
        <v>120-131</v>
      </c>
      <c r="I351" s="0" t="s">
        <v>13</v>
      </c>
      <c r="J351" s="0" t="str">
        <f aca="false">"81-92"</f>
        <v>81-92</v>
      </c>
      <c r="K351" s="0" t="str">
        <f aca="false">"0.71"</f>
        <v>0.71</v>
      </c>
      <c r="L351" s="0" t="str">
        <f aca="false">"8.62"</f>
        <v>8.62</v>
      </c>
      <c r="M351" s="0" t="str">
        <f aca="false">"-163.2"</f>
        <v>-163.2</v>
      </c>
    </row>
    <row r="352" customFormat="false" ht="12.8" hidden="false" customHeight="false" outlineLevel="0" collapsed="false">
      <c r="A352" s="0" t="s">
        <v>8</v>
      </c>
      <c r="B352" s="0" t="s">
        <v>9</v>
      </c>
      <c r="C352" s="0" t="str">
        <f aca="false">"134-145"</f>
        <v>134-145</v>
      </c>
      <c r="D352" s="0" t="s">
        <v>9</v>
      </c>
      <c r="E352" s="0" t="str">
        <f aca="false">"229-240"</f>
        <v>229-240</v>
      </c>
      <c r="F352" s="0" t="s">
        <v>371</v>
      </c>
      <c r="G352" s="0" t="s">
        <v>24</v>
      </c>
      <c r="H352" s="0" t="str">
        <f aca="false">"1166-1177"</f>
        <v>1166-1177</v>
      </c>
      <c r="I352" s="0" t="s">
        <v>13</v>
      </c>
      <c r="J352" s="0" t="str">
        <f aca="false">"915-926"</f>
        <v>915-926</v>
      </c>
      <c r="K352" s="0" t="str">
        <f aca="false">"0.79"</f>
        <v>0.79</v>
      </c>
      <c r="L352" s="0" t="str">
        <f aca="false">"9.23"</f>
        <v>9.23</v>
      </c>
      <c r="M352" s="0" t="str">
        <f aca="false">"-162.8"</f>
        <v>-162.8</v>
      </c>
    </row>
    <row r="353" customFormat="false" ht="12.8" hidden="false" customHeight="false" outlineLevel="0" collapsed="false">
      <c r="A353" s="0" t="s">
        <v>8</v>
      </c>
      <c r="B353" s="0" t="s">
        <v>9</v>
      </c>
      <c r="C353" s="0" t="str">
        <f aca="false">"134-145"</f>
        <v>134-145</v>
      </c>
      <c r="D353" s="0" t="s">
        <v>9</v>
      </c>
      <c r="E353" s="0" t="str">
        <f aca="false">"229-240"</f>
        <v>229-240</v>
      </c>
      <c r="F353" s="0" t="s">
        <v>372</v>
      </c>
      <c r="G353" s="0" t="s">
        <v>13</v>
      </c>
      <c r="H353" s="0" t="str">
        <f aca="false">"116-127"</f>
        <v>116-127</v>
      </c>
      <c r="I353" s="0" t="s">
        <v>13</v>
      </c>
      <c r="J353" s="0" t="str">
        <f aca="false">"93-104"</f>
        <v>93-104</v>
      </c>
      <c r="K353" s="0" t="str">
        <f aca="false">"0.99"</f>
        <v>0.99</v>
      </c>
      <c r="L353" s="0" t="str">
        <f aca="false">"8.37"</f>
        <v>8.37</v>
      </c>
      <c r="M353" s="0" t="str">
        <f aca="false">"-155.3"</f>
        <v>-155.3</v>
      </c>
    </row>
    <row r="354" customFormat="false" ht="12.8" hidden="false" customHeight="false" outlineLevel="0" collapsed="false">
      <c r="A354" s="0" t="s">
        <v>8</v>
      </c>
      <c r="B354" s="0" t="s">
        <v>9</v>
      </c>
      <c r="C354" s="0" t="str">
        <f aca="false">"137-148"</f>
        <v>137-148</v>
      </c>
      <c r="D354" s="0" t="s">
        <v>9</v>
      </c>
      <c r="E354" s="0" t="str">
        <f aca="false">"225-236"</f>
        <v>225-236</v>
      </c>
      <c r="F354" s="0" t="s">
        <v>373</v>
      </c>
      <c r="G354" s="0" t="s">
        <v>9</v>
      </c>
      <c r="H354" s="0" t="str">
        <f aca="false">"152-163"</f>
        <v>152-163</v>
      </c>
      <c r="I354" s="0" t="s">
        <v>9</v>
      </c>
      <c r="J354" s="0" t="str">
        <f aca="false">"182-193"</f>
        <v>182-193</v>
      </c>
      <c r="K354" s="0" t="str">
        <f aca="false">"0.82"</f>
        <v>0.82</v>
      </c>
      <c r="L354" s="0" t="str">
        <f aca="false">"8.45"</f>
        <v>8.45</v>
      </c>
      <c r="M354" s="0" t="str">
        <f aca="false">"-147.0"</f>
        <v>-147.0</v>
      </c>
    </row>
    <row r="355" customFormat="false" ht="12.8" hidden="false" customHeight="false" outlineLevel="0" collapsed="false">
      <c r="A355" s="0" t="s">
        <v>8</v>
      </c>
      <c r="B355" s="0" t="s">
        <v>9</v>
      </c>
      <c r="C355" s="0" t="str">
        <f aca="false">"134-145"</f>
        <v>134-145</v>
      </c>
      <c r="D355" s="0" t="s">
        <v>9</v>
      </c>
      <c r="E355" s="0" t="str">
        <f aca="false">"229-240"</f>
        <v>229-240</v>
      </c>
      <c r="F355" s="0" t="s">
        <v>374</v>
      </c>
      <c r="G355" s="0" t="s">
        <v>9</v>
      </c>
      <c r="H355" s="0" t="str">
        <f aca="false">"5-16"</f>
        <v>5-16</v>
      </c>
      <c r="I355" s="0" t="s">
        <v>9</v>
      </c>
      <c r="J355" s="0" t="str">
        <f aca="false">"47-58"</f>
        <v>47-58</v>
      </c>
      <c r="K355" s="0" t="str">
        <f aca="false">"0.82"</f>
        <v>0.82</v>
      </c>
      <c r="L355" s="0" t="str">
        <f aca="false">"9.40"</f>
        <v>9.40</v>
      </c>
      <c r="M355" s="0" t="str">
        <f aca="false">"-154.8"</f>
        <v>-154.8</v>
      </c>
    </row>
    <row r="356" customFormat="false" ht="12.8" hidden="false" customHeight="false" outlineLevel="0" collapsed="false">
      <c r="A356" s="0" t="s">
        <v>8</v>
      </c>
      <c r="B356" s="0" t="s">
        <v>9</v>
      </c>
      <c r="C356" s="0" t="str">
        <f aca="false">"134-145"</f>
        <v>134-145</v>
      </c>
      <c r="D356" s="0" t="s">
        <v>9</v>
      </c>
      <c r="E356" s="0" t="str">
        <f aca="false">"229-240"</f>
        <v>229-240</v>
      </c>
      <c r="F356" s="0" t="s">
        <v>375</v>
      </c>
      <c r="G356" s="0" t="s">
        <v>9</v>
      </c>
      <c r="H356" s="0" t="str">
        <f aca="false">"146-157"</f>
        <v>146-157</v>
      </c>
      <c r="I356" s="0" t="s">
        <v>9</v>
      </c>
      <c r="J356" s="0" t="str">
        <f aca="false">"168-179"</f>
        <v>168-179</v>
      </c>
      <c r="K356" s="0" t="str">
        <f aca="false">"0.61"</f>
        <v>0.61</v>
      </c>
      <c r="L356" s="0" t="str">
        <f aca="false">"8.36"</f>
        <v>8.36</v>
      </c>
      <c r="M356" s="0" t="str">
        <f aca="false">"-154.6"</f>
        <v>-154.6</v>
      </c>
    </row>
    <row r="357" customFormat="false" ht="12.8" hidden="false" customHeight="false" outlineLevel="0" collapsed="false">
      <c r="A357" s="0" t="s">
        <v>8</v>
      </c>
      <c r="B357" s="0" t="s">
        <v>9</v>
      </c>
      <c r="C357" s="0" t="str">
        <f aca="false">"134-145"</f>
        <v>134-145</v>
      </c>
      <c r="D357" s="0" t="s">
        <v>9</v>
      </c>
      <c r="E357" s="0" t="str">
        <f aca="false">"226-237"</f>
        <v>226-237</v>
      </c>
      <c r="F357" s="0" t="s">
        <v>376</v>
      </c>
      <c r="G357" s="0" t="s">
        <v>13</v>
      </c>
      <c r="H357" s="0" t="str">
        <f aca="false">"14-25"</f>
        <v>14-25</v>
      </c>
      <c r="I357" s="0" t="s">
        <v>13</v>
      </c>
      <c r="J357" s="0" t="str">
        <f aca="false">"32-43"</f>
        <v>32-43</v>
      </c>
      <c r="K357" s="0" t="str">
        <f aca="false">"0.93"</f>
        <v>0.93</v>
      </c>
      <c r="L357" s="0" t="str">
        <f aca="false">"9.33"</f>
        <v>9.33</v>
      </c>
      <c r="M357" s="0" t="str">
        <f aca="false">"-162.5"</f>
        <v>-162.5</v>
      </c>
    </row>
    <row r="358" customFormat="false" ht="12.8" hidden="false" customHeight="false" outlineLevel="0" collapsed="false">
      <c r="A358" s="0" t="s">
        <v>8</v>
      </c>
      <c r="B358" s="0" t="s">
        <v>9</v>
      </c>
      <c r="C358" s="0" t="str">
        <f aca="false">"134-145"</f>
        <v>134-145</v>
      </c>
      <c r="D358" s="0" t="s">
        <v>9</v>
      </c>
      <c r="E358" s="0" t="str">
        <f aca="false">"229-240"</f>
        <v>229-240</v>
      </c>
      <c r="F358" s="0" t="s">
        <v>377</v>
      </c>
      <c r="G358" s="0" t="s">
        <v>9</v>
      </c>
      <c r="H358" s="0" t="str">
        <f aca="false">"74-85"</f>
        <v>74-85</v>
      </c>
      <c r="I358" s="0" t="s">
        <v>9</v>
      </c>
      <c r="J358" s="0" t="str">
        <f aca="false">"54-65"</f>
        <v>54-65</v>
      </c>
      <c r="K358" s="0" t="str">
        <f aca="false">"0.54"</f>
        <v>0.54</v>
      </c>
      <c r="L358" s="0" t="str">
        <f aca="false">"8.78"</f>
        <v>8.78</v>
      </c>
      <c r="M358" s="0" t="str">
        <f aca="false">"-149.9"</f>
        <v>-149.9</v>
      </c>
    </row>
    <row r="359" customFormat="false" ht="12.8" hidden="false" customHeight="false" outlineLevel="0" collapsed="false">
      <c r="A359" s="0" t="s">
        <v>8</v>
      </c>
      <c r="B359" s="0" t="s">
        <v>9</v>
      </c>
      <c r="C359" s="0" t="str">
        <f aca="false">"134-145"</f>
        <v>134-145</v>
      </c>
      <c r="D359" s="0" t="s">
        <v>9</v>
      </c>
      <c r="E359" s="0" t="str">
        <f aca="false">"229-240"</f>
        <v>229-240</v>
      </c>
      <c r="F359" s="0" t="s">
        <v>378</v>
      </c>
      <c r="G359" s="0" t="s">
        <v>9</v>
      </c>
      <c r="H359" s="0" t="str">
        <f aca="false">"5-16"</f>
        <v>5-16</v>
      </c>
      <c r="I359" s="0" t="s">
        <v>9</v>
      </c>
      <c r="J359" s="0" t="str">
        <f aca="false">"106-117"</f>
        <v>106-117</v>
      </c>
      <c r="K359" s="0" t="str">
        <f aca="false">"0.69"</f>
        <v>0.69</v>
      </c>
      <c r="L359" s="0" t="str">
        <f aca="false">"8.32"</f>
        <v>8.32</v>
      </c>
      <c r="M359" s="0" t="str">
        <f aca="false">"-149.4"</f>
        <v>-149.4</v>
      </c>
    </row>
    <row r="360" customFormat="false" ht="12.8" hidden="false" customHeight="false" outlineLevel="0" collapsed="false">
      <c r="A360" s="0" t="s">
        <v>8</v>
      </c>
      <c r="B360" s="0" t="s">
        <v>9</v>
      </c>
      <c r="C360" s="0" t="str">
        <f aca="false">"134-145"</f>
        <v>134-145</v>
      </c>
      <c r="D360" s="0" t="s">
        <v>9</v>
      </c>
      <c r="E360" s="0" t="str">
        <f aca="false">"226-237"</f>
        <v>226-237</v>
      </c>
      <c r="F360" s="0" t="s">
        <v>379</v>
      </c>
      <c r="G360" s="0" t="s">
        <v>9</v>
      </c>
      <c r="H360" s="0" t="str">
        <f aca="false">"480-491"</f>
        <v>480-491</v>
      </c>
      <c r="I360" s="0" t="s">
        <v>9</v>
      </c>
      <c r="J360" s="0" t="str">
        <f aca="false">"463-474"</f>
        <v>463-474</v>
      </c>
      <c r="K360" s="0" t="str">
        <f aca="false">"1.12"</f>
        <v>1.12</v>
      </c>
      <c r="L360" s="0" t="str">
        <f aca="false">"8.63"</f>
        <v>8.63</v>
      </c>
      <c r="M360" s="0" t="str">
        <f aca="false">"-149.0"</f>
        <v>-149.0</v>
      </c>
    </row>
    <row r="361" customFormat="false" ht="12.8" hidden="false" customHeight="false" outlineLevel="0" collapsed="false">
      <c r="A361" s="0" t="s">
        <v>8</v>
      </c>
      <c r="B361" s="0" t="s">
        <v>9</v>
      </c>
      <c r="C361" s="0" t="str">
        <f aca="false">"135-146"</f>
        <v>135-146</v>
      </c>
      <c r="D361" s="0" t="s">
        <v>9</v>
      </c>
      <c r="E361" s="0" t="str">
        <f aca="false">"226-237"</f>
        <v>226-237</v>
      </c>
      <c r="F361" s="0" t="s">
        <v>380</v>
      </c>
      <c r="G361" s="0" t="s">
        <v>9</v>
      </c>
      <c r="H361" s="0" t="str">
        <f aca="false">"350-361"</f>
        <v>350-361</v>
      </c>
      <c r="I361" s="0" t="s">
        <v>9</v>
      </c>
      <c r="J361" s="0" t="str">
        <f aca="false">"334-345"</f>
        <v>334-345</v>
      </c>
      <c r="K361" s="0" t="str">
        <f aca="false">"0.81"</f>
        <v>0.81</v>
      </c>
      <c r="L361" s="0" t="str">
        <f aca="false">"9.44"</f>
        <v>9.44</v>
      </c>
      <c r="M361" s="0" t="str">
        <f aca="false">"-148.1"</f>
        <v>-148.1</v>
      </c>
    </row>
    <row r="362" customFormat="false" ht="12.8" hidden="false" customHeight="false" outlineLevel="0" collapsed="false">
      <c r="A362" s="0" t="s">
        <v>8</v>
      </c>
      <c r="B362" s="0" t="s">
        <v>9</v>
      </c>
      <c r="C362" s="0" t="str">
        <f aca="false">"134-145"</f>
        <v>134-145</v>
      </c>
      <c r="D362" s="0" t="s">
        <v>9</v>
      </c>
      <c r="E362" s="0" t="str">
        <f aca="false">"229-240"</f>
        <v>229-240</v>
      </c>
      <c r="F362" s="0" t="s">
        <v>381</v>
      </c>
      <c r="G362" s="0" t="s">
        <v>9</v>
      </c>
      <c r="H362" s="0" t="str">
        <f aca="false">"237-248"</f>
        <v>237-248</v>
      </c>
      <c r="I362" s="0" t="s">
        <v>9</v>
      </c>
      <c r="J362" s="0" t="str">
        <f aca="false">"263-274"</f>
        <v>263-274</v>
      </c>
      <c r="K362" s="0" t="str">
        <f aca="false">"1.12"</f>
        <v>1.12</v>
      </c>
      <c r="L362" s="0" t="str">
        <f aca="false">"9.75"</f>
        <v>9.75</v>
      </c>
      <c r="M362" s="0" t="str">
        <f aca="false">"-165.8"</f>
        <v>-165.8</v>
      </c>
    </row>
    <row r="363" customFormat="false" ht="12.8" hidden="false" customHeight="false" outlineLevel="0" collapsed="false">
      <c r="A363" s="0" t="s">
        <v>8</v>
      </c>
      <c r="B363" s="0" t="s">
        <v>9</v>
      </c>
      <c r="C363" s="0" t="str">
        <f aca="false">"134-145"</f>
        <v>134-145</v>
      </c>
      <c r="D363" s="0" t="s">
        <v>9</v>
      </c>
      <c r="E363" s="0" t="str">
        <f aca="false">"229-240"</f>
        <v>229-240</v>
      </c>
      <c r="F363" s="0" t="s">
        <v>382</v>
      </c>
      <c r="G363" s="0" t="s">
        <v>9</v>
      </c>
      <c r="H363" s="0" t="str">
        <f aca="false">"454-465"</f>
        <v>454-465</v>
      </c>
      <c r="I363" s="0" t="s">
        <v>9</v>
      </c>
      <c r="J363" s="0" t="str">
        <f aca="false">"484-495"</f>
        <v>484-495</v>
      </c>
      <c r="K363" s="0" t="str">
        <f aca="false">"0.80"</f>
        <v>0.80</v>
      </c>
      <c r="L363" s="0" t="str">
        <f aca="false">"9.57"</f>
        <v>9.57</v>
      </c>
      <c r="M363" s="0" t="str">
        <f aca="false">"-145.2"</f>
        <v>-145.2</v>
      </c>
    </row>
    <row r="364" customFormat="false" ht="12.8" hidden="false" customHeight="false" outlineLevel="0" collapsed="false">
      <c r="A364" s="0" t="s">
        <v>8</v>
      </c>
      <c r="B364" s="0" t="s">
        <v>9</v>
      </c>
      <c r="C364" s="0" t="str">
        <f aca="false">"137-148"</f>
        <v>137-148</v>
      </c>
      <c r="D364" s="0" t="s">
        <v>9</v>
      </c>
      <c r="E364" s="0" t="str">
        <f aca="false">"225-236"</f>
        <v>225-236</v>
      </c>
      <c r="F364" s="0" t="s">
        <v>383</v>
      </c>
      <c r="G364" s="0" t="s">
        <v>13</v>
      </c>
      <c r="H364" s="0" t="str">
        <f aca="false">"157-168"</f>
        <v>157-168</v>
      </c>
      <c r="I364" s="0" t="s">
        <v>13</v>
      </c>
      <c r="J364" s="0" t="str">
        <f aca="false">"183-194"</f>
        <v>183-194</v>
      </c>
      <c r="K364" s="0" t="str">
        <f aca="false">"1.22"</f>
        <v>1.22</v>
      </c>
      <c r="L364" s="0" t="str">
        <f aca="false">"8.33"</f>
        <v>8.33</v>
      </c>
      <c r="M364" s="0" t="str">
        <f aca="false">"-158.8"</f>
        <v>-158.8</v>
      </c>
    </row>
    <row r="365" customFormat="false" ht="12.8" hidden="false" customHeight="false" outlineLevel="0" collapsed="false">
      <c r="A365" s="0" t="s">
        <v>8</v>
      </c>
      <c r="B365" s="0" t="s">
        <v>9</v>
      </c>
      <c r="C365" s="0" t="str">
        <f aca="false">"131-142"</f>
        <v>131-142</v>
      </c>
      <c r="D365" s="0" t="s">
        <v>9</v>
      </c>
      <c r="E365" s="0" t="str">
        <f aca="false">"230-241"</f>
        <v>230-241</v>
      </c>
      <c r="F365" s="0" t="s">
        <v>384</v>
      </c>
      <c r="G365" s="0" t="s">
        <v>9</v>
      </c>
      <c r="H365" s="0" t="str">
        <f aca="false">"725-736"</f>
        <v>725-736</v>
      </c>
      <c r="I365" s="0" t="s">
        <v>9</v>
      </c>
      <c r="J365" s="0" t="str">
        <f aca="false">"741-752"</f>
        <v>741-752</v>
      </c>
      <c r="K365" s="0" t="str">
        <f aca="false">"1.13"</f>
        <v>1.13</v>
      </c>
      <c r="L365" s="0" t="str">
        <f aca="false">"9.36"</f>
        <v>9.36</v>
      </c>
      <c r="M365" s="0" t="str">
        <f aca="false">"-166.6"</f>
        <v>-166.6</v>
      </c>
    </row>
    <row r="366" customFormat="false" ht="12.8" hidden="false" customHeight="false" outlineLevel="0" collapsed="false">
      <c r="A366" s="0" t="s">
        <v>8</v>
      </c>
      <c r="B366" s="0" t="s">
        <v>9</v>
      </c>
      <c r="C366" s="0" t="str">
        <f aca="false">"127-138"</f>
        <v>127-138</v>
      </c>
      <c r="D366" s="0" t="s">
        <v>9</v>
      </c>
      <c r="E366" s="0" t="str">
        <f aca="false">"233-244"</f>
        <v>233-244</v>
      </c>
      <c r="F366" s="0" t="s">
        <v>385</v>
      </c>
      <c r="G366" s="0" t="s">
        <v>9</v>
      </c>
      <c r="H366" s="0" t="str">
        <f aca="false">"27-38"</f>
        <v>27-38</v>
      </c>
      <c r="I366" s="0" t="s">
        <v>9</v>
      </c>
      <c r="J366" s="0" t="str">
        <f aca="false">"44-55"</f>
        <v>44-55</v>
      </c>
      <c r="K366" s="0" t="str">
        <f aca="false">"0.86"</f>
        <v>0.86</v>
      </c>
      <c r="L366" s="0" t="str">
        <f aca="false">"10.80"</f>
        <v>10.80</v>
      </c>
      <c r="M366" s="0" t="str">
        <f aca="false">"-164.2"</f>
        <v>-164.2</v>
      </c>
    </row>
    <row r="367" customFormat="false" ht="12.8" hidden="false" customHeight="false" outlineLevel="0" collapsed="false">
      <c r="A367" s="0" t="s">
        <v>8</v>
      </c>
      <c r="B367" s="0" t="s">
        <v>9</v>
      </c>
      <c r="C367" s="0" t="str">
        <f aca="false">"128-139"</f>
        <v>128-139</v>
      </c>
      <c r="D367" s="0" t="s">
        <v>9</v>
      </c>
      <c r="E367" s="0" t="str">
        <f aca="false">"233-244"</f>
        <v>233-244</v>
      </c>
      <c r="F367" s="0" t="s">
        <v>386</v>
      </c>
      <c r="G367" s="0" t="s">
        <v>9</v>
      </c>
      <c r="H367" s="0" t="str">
        <f aca="false">"272-283"</f>
        <v>272-283</v>
      </c>
      <c r="I367" s="0" t="s">
        <v>9</v>
      </c>
      <c r="J367" s="0" t="str">
        <f aca="false">"327-338"</f>
        <v>327-338</v>
      </c>
      <c r="K367" s="0" t="str">
        <f aca="false">"1.08"</f>
        <v>1.08</v>
      </c>
      <c r="L367" s="0" t="str">
        <f aca="false">"10.91"</f>
        <v>10.91</v>
      </c>
      <c r="M367" s="0" t="str">
        <f aca="false">"-172.0"</f>
        <v>-172.0</v>
      </c>
    </row>
    <row r="368" customFormat="false" ht="12.8" hidden="false" customHeight="false" outlineLevel="0" collapsed="false">
      <c r="A368" s="0" t="s">
        <v>8</v>
      </c>
      <c r="B368" s="0" t="s">
        <v>9</v>
      </c>
      <c r="C368" s="0" t="str">
        <f aca="false">"127-138"</f>
        <v>127-138</v>
      </c>
      <c r="D368" s="0" t="s">
        <v>9</v>
      </c>
      <c r="E368" s="0" t="str">
        <f aca="false">"233-244"</f>
        <v>233-244</v>
      </c>
      <c r="F368" s="0" t="s">
        <v>387</v>
      </c>
      <c r="G368" s="0" t="s">
        <v>9</v>
      </c>
      <c r="H368" s="0" t="str">
        <f aca="false">"256-267"</f>
        <v>256-267</v>
      </c>
      <c r="I368" s="0" t="s">
        <v>9</v>
      </c>
      <c r="J368" s="0" t="str">
        <f aca="false">"113-124"</f>
        <v>113-124</v>
      </c>
      <c r="K368" s="0" t="str">
        <f aca="false">"0.99"</f>
        <v>0.99</v>
      </c>
      <c r="L368" s="0" t="str">
        <f aca="false">"10.39"</f>
        <v>10.39</v>
      </c>
      <c r="M368" s="0" t="str">
        <f aca="false">"-167.4"</f>
        <v>-167.4</v>
      </c>
    </row>
    <row r="369" customFormat="false" ht="12.8" hidden="false" customHeight="false" outlineLevel="0" collapsed="false">
      <c r="A369" s="0" t="s">
        <v>8</v>
      </c>
      <c r="B369" s="0" t="s">
        <v>9</v>
      </c>
      <c r="C369" s="0" t="str">
        <f aca="false">"134-145"</f>
        <v>134-145</v>
      </c>
      <c r="D369" s="0" t="s">
        <v>9</v>
      </c>
      <c r="E369" s="0" t="str">
        <f aca="false">"229-240"</f>
        <v>229-240</v>
      </c>
      <c r="F369" s="0" t="s">
        <v>388</v>
      </c>
      <c r="G369" s="0" t="s">
        <v>71</v>
      </c>
      <c r="H369" s="0" t="str">
        <f aca="false">"86-97"</f>
        <v>86-97</v>
      </c>
      <c r="I369" s="0" t="s">
        <v>71</v>
      </c>
      <c r="J369" s="0" t="str">
        <f aca="false">"40-51"</f>
        <v>40-51</v>
      </c>
      <c r="K369" s="0" t="str">
        <f aca="false">"1.20"</f>
        <v>1.20</v>
      </c>
      <c r="L369" s="0" t="str">
        <f aca="false">"9.93"</f>
        <v>9.93</v>
      </c>
      <c r="M369" s="0" t="str">
        <f aca="false">"-175.9"</f>
        <v>-175.9</v>
      </c>
    </row>
    <row r="370" customFormat="false" ht="12.8" hidden="false" customHeight="false" outlineLevel="0" collapsed="false">
      <c r="A370" s="0" t="s">
        <v>8</v>
      </c>
      <c r="B370" s="0" t="s">
        <v>9</v>
      </c>
      <c r="C370" s="0" t="str">
        <f aca="false">"137-148"</f>
        <v>137-148</v>
      </c>
      <c r="D370" s="0" t="s">
        <v>9</v>
      </c>
      <c r="E370" s="0" t="str">
        <f aca="false">"227-238"</f>
        <v>227-238</v>
      </c>
      <c r="F370" s="0" t="s">
        <v>389</v>
      </c>
      <c r="G370" s="0" t="s">
        <v>9</v>
      </c>
      <c r="H370" s="0" t="str">
        <f aca="false">"335-346"</f>
        <v>335-346</v>
      </c>
      <c r="I370" s="0" t="s">
        <v>9</v>
      </c>
      <c r="J370" s="0" t="str">
        <f aca="false">"349-360"</f>
        <v>349-360</v>
      </c>
      <c r="K370" s="0" t="str">
        <f aca="false">"0.78"</f>
        <v>0.78</v>
      </c>
      <c r="L370" s="0" t="str">
        <f aca="false">"8.85"</f>
        <v>8.85</v>
      </c>
      <c r="M370" s="0" t="str">
        <f aca="false">"-157.5"</f>
        <v>-157.5</v>
      </c>
    </row>
    <row r="371" customFormat="false" ht="12.8" hidden="false" customHeight="false" outlineLevel="0" collapsed="false">
      <c r="A371" s="0" t="s">
        <v>8</v>
      </c>
      <c r="B371" s="0" t="s">
        <v>9</v>
      </c>
      <c r="C371" s="0" t="str">
        <f aca="false">"134-145"</f>
        <v>134-145</v>
      </c>
      <c r="D371" s="0" t="s">
        <v>9</v>
      </c>
      <c r="E371" s="0" t="str">
        <f aca="false">"229-240"</f>
        <v>229-240</v>
      </c>
      <c r="F371" s="0" t="s">
        <v>390</v>
      </c>
      <c r="G371" s="0" t="s">
        <v>9</v>
      </c>
      <c r="H371" s="0" t="str">
        <f aca="false">"44-55"</f>
        <v>44-55</v>
      </c>
      <c r="I371" s="0" t="s">
        <v>9</v>
      </c>
      <c r="J371" s="0" t="str">
        <f aca="false">"63-74"</f>
        <v>63-74</v>
      </c>
      <c r="K371" s="0" t="str">
        <f aca="false">"0.67"</f>
        <v>0.67</v>
      </c>
      <c r="L371" s="0" t="str">
        <f aca="false">"9.10"</f>
        <v>9.10</v>
      </c>
      <c r="M371" s="0" t="str">
        <f aca="false">"-153.4"</f>
        <v>-153.4</v>
      </c>
    </row>
    <row r="372" customFormat="false" ht="12.8" hidden="false" customHeight="false" outlineLevel="0" collapsed="false">
      <c r="A372" s="0" t="s">
        <v>8</v>
      </c>
      <c r="B372" s="0" t="s">
        <v>9</v>
      </c>
      <c r="C372" s="0" t="str">
        <f aca="false">"135-146"</f>
        <v>135-146</v>
      </c>
      <c r="D372" s="0" t="s">
        <v>9</v>
      </c>
      <c r="E372" s="0" t="str">
        <f aca="false">"226-237"</f>
        <v>226-237</v>
      </c>
      <c r="F372" s="0" t="s">
        <v>391</v>
      </c>
      <c r="G372" s="0" t="s">
        <v>9</v>
      </c>
      <c r="H372" s="0" t="str">
        <f aca="false">"138-149"</f>
        <v>138-149</v>
      </c>
      <c r="I372" s="0" t="s">
        <v>9</v>
      </c>
      <c r="J372" s="0" t="str">
        <f aca="false">"200-211"</f>
        <v>200-211</v>
      </c>
      <c r="K372" s="0" t="str">
        <f aca="false">"0.92"</f>
        <v>0.92</v>
      </c>
      <c r="L372" s="0" t="str">
        <f aca="false">"8.98"</f>
        <v>8.98</v>
      </c>
      <c r="M372" s="0" t="str">
        <f aca="false">"-162.6"</f>
        <v>-162.6</v>
      </c>
    </row>
    <row r="373" customFormat="false" ht="12.8" hidden="false" customHeight="false" outlineLevel="0" collapsed="false">
      <c r="A373" s="0" t="s">
        <v>8</v>
      </c>
      <c r="B373" s="0" t="s">
        <v>9</v>
      </c>
      <c r="C373" s="0" t="str">
        <f aca="false">"135-146"</f>
        <v>135-146</v>
      </c>
      <c r="D373" s="0" t="s">
        <v>9</v>
      </c>
      <c r="E373" s="0" t="str">
        <f aca="false">"227-238"</f>
        <v>227-238</v>
      </c>
      <c r="F373" s="0" t="s">
        <v>392</v>
      </c>
      <c r="G373" s="0" t="s">
        <v>9</v>
      </c>
      <c r="H373" s="0" t="str">
        <f aca="false">"394-405"</f>
        <v>394-405</v>
      </c>
      <c r="I373" s="0" t="s">
        <v>9</v>
      </c>
      <c r="J373" s="0" t="str">
        <f aca="false">"410-421"</f>
        <v>410-421</v>
      </c>
      <c r="K373" s="0" t="str">
        <f aca="false">"0.74"</f>
        <v>0.74</v>
      </c>
      <c r="L373" s="0" t="str">
        <f aca="false">"8.75"</f>
        <v>8.75</v>
      </c>
      <c r="M373" s="0" t="str">
        <f aca="false">"-147.2"</f>
        <v>-147.2</v>
      </c>
    </row>
    <row r="374" customFormat="false" ht="12.8" hidden="false" customHeight="false" outlineLevel="0" collapsed="false">
      <c r="A374" s="0" t="s">
        <v>8</v>
      </c>
      <c r="B374" s="0" t="s">
        <v>9</v>
      </c>
      <c r="C374" s="0" t="str">
        <f aca="false">"134-145"</f>
        <v>134-145</v>
      </c>
      <c r="D374" s="0" t="s">
        <v>9</v>
      </c>
      <c r="E374" s="0" t="str">
        <f aca="false">"229-240"</f>
        <v>229-240</v>
      </c>
      <c r="F374" s="0" t="s">
        <v>393</v>
      </c>
      <c r="G374" s="0" t="s">
        <v>9</v>
      </c>
      <c r="H374" s="0" t="str">
        <f aca="false">"212-223"</f>
        <v>212-223</v>
      </c>
      <c r="I374" s="0" t="s">
        <v>9</v>
      </c>
      <c r="J374" s="0" t="str">
        <f aca="false">"231-242"</f>
        <v>231-242</v>
      </c>
      <c r="K374" s="0" t="str">
        <f aca="false">"0.63"</f>
        <v>0.63</v>
      </c>
      <c r="L374" s="0" t="str">
        <f aca="false">"8.46"</f>
        <v>8.46</v>
      </c>
      <c r="M374" s="0" t="str">
        <f aca="false">"-157.0"</f>
        <v>-157.0</v>
      </c>
    </row>
    <row r="375" customFormat="false" ht="12.8" hidden="false" customHeight="false" outlineLevel="0" collapsed="false">
      <c r="A375" s="0" t="s">
        <v>8</v>
      </c>
      <c r="B375" s="0" t="s">
        <v>9</v>
      </c>
      <c r="C375" s="0" t="str">
        <f aca="false">"135-146"</f>
        <v>135-146</v>
      </c>
      <c r="D375" s="0" t="s">
        <v>9</v>
      </c>
      <c r="E375" s="0" t="str">
        <f aca="false">"227-238"</f>
        <v>227-238</v>
      </c>
      <c r="F375" s="0" t="s">
        <v>394</v>
      </c>
      <c r="G375" s="0" t="s">
        <v>9</v>
      </c>
      <c r="H375" s="0" t="str">
        <f aca="false">"361-372"</f>
        <v>361-372</v>
      </c>
      <c r="I375" s="0" t="s">
        <v>9</v>
      </c>
      <c r="J375" s="0" t="str">
        <f aca="false">"377-388"</f>
        <v>377-388</v>
      </c>
      <c r="K375" s="0" t="str">
        <f aca="false">"0.76"</f>
        <v>0.76</v>
      </c>
      <c r="L375" s="0" t="str">
        <f aca="false">"8.47"</f>
        <v>8.47</v>
      </c>
      <c r="M375" s="0" t="str">
        <f aca="false">"-149.6"</f>
        <v>-149.6</v>
      </c>
    </row>
    <row r="376" customFormat="false" ht="12.8" hidden="false" customHeight="false" outlineLevel="0" collapsed="false">
      <c r="A376" s="0" t="s">
        <v>8</v>
      </c>
      <c r="B376" s="0" t="s">
        <v>9</v>
      </c>
      <c r="C376" s="0" t="str">
        <f aca="false">"135-146"</f>
        <v>135-146</v>
      </c>
      <c r="D376" s="0" t="s">
        <v>9</v>
      </c>
      <c r="E376" s="0" t="str">
        <f aca="false">"226-237"</f>
        <v>226-237</v>
      </c>
      <c r="F376" s="0" t="s">
        <v>395</v>
      </c>
      <c r="G376" s="0" t="s">
        <v>9</v>
      </c>
      <c r="H376" s="0" t="str">
        <f aca="false">"31-42"</f>
        <v>31-42</v>
      </c>
      <c r="I376" s="0" t="s">
        <v>9</v>
      </c>
      <c r="J376" s="0" t="str">
        <f aca="false">"73-84"</f>
        <v>73-84</v>
      </c>
      <c r="K376" s="0" t="str">
        <f aca="false">"0.91"</f>
        <v>0.91</v>
      </c>
      <c r="L376" s="0" t="str">
        <f aca="false">"9.00"</f>
        <v>9.00</v>
      </c>
      <c r="M376" s="0" t="str">
        <f aca="false">"-150.0"</f>
        <v>-150.0</v>
      </c>
    </row>
    <row r="377" customFormat="false" ht="12.8" hidden="false" customHeight="false" outlineLevel="0" collapsed="false">
      <c r="A377" s="0" t="s">
        <v>8</v>
      </c>
      <c r="B377" s="0" t="s">
        <v>9</v>
      </c>
      <c r="C377" s="0" t="str">
        <f aca="false">"134-145"</f>
        <v>134-145</v>
      </c>
      <c r="D377" s="0" t="s">
        <v>9</v>
      </c>
      <c r="E377" s="0" t="str">
        <f aca="false">"229-240"</f>
        <v>229-240</v>
      </c>
      <c r="F377" s="0" t="s">
        <v>396</v>
      </c>
      <c r="G377" s="0" t="s">
        <v>9</v>
      </c>
      <c r="H377" s="0" t="str">
        <f aca="false">"612-623"</f>
        <v>612-623</v>
      </c>
      <c r="I377" s="0" t="s">
        <v>9</v>
      </c>
      <c r="J377" s="0" t="str">
        <f aca="false">"10-21"</f>
        <v>10-21</v>
      </c>
      <c r="K377" s="0" t="str">
        <f aca="false">"0.58"</f>
        <v>0.58</v>
      </c>
      <c r="L377" s="0" t="str">
        <f aca="false">"8.65"</f>
        <v>8.65</v>
      </c>
      <c r="M377" s="0" t="str">
        <f aca="false">"-158.3"</f>
        <v>-158.3</v>
      </c>
    </row>
    <row r="378" customFormat="false" ht="12.8" hidden="false" customHeight="false" outlineLevel="0" collapsed="false">
      <c r="A378" s="0" t="s">
        <v>8</v>
      </c>
      <c r="B378" s="0" t="s">
        <v>9</v>
      </c>
      <c r="C378" s="0" t="str">
        <f aca="false">"134-145"</f>
        <v>134-145</v>
      </c>
      <c r="D378" s="0" t="s">
        <v>9</v>
      </c>
      <c r="E378" s="0" t="str">
        <f aca="false">"227-238"</f>
        <v>227-238</v>
      </c>
      <c r="F378" s="0" t="s">
        <v>397</v>
      </c>
      <c r="G378" s="0" t="s">
        <v>9</v>
      </c>
      <c r="H378" s="0" t="str">
        <f aca="false">"498-509"</f>
        <v>498-509</v>
      </c>
      <c r="I378" s="0" t="s">
        <v>9</v>
      </c>
      <c r="J378" s="0" t="str">
        <f aca="false">"515-526"</f>
        <v>515-526</v>
      </c>
      <c r="K378" s="0" t="str">
        <f aca="false">"0.86"</f>
        <v>0.86</v>
      </c>
      <c r="L378" s="0" t="str">
        <f aca="false">"8.49"</f>
        <v>8.49</v>
      </c>
      <c r="M378" s="0" t="str">
        <f aca="false">"-147.7"</f>
        <v>-147.7</v>
      </c>
    </row>
    <row r="379" customFormat="false" ht="12.8" hidden="false" customHeight="false" outlineLevel="0" collapsed="false">
      <c r="A379" s="0" t="s">
        <v>8</v>
      </c>
      <c r="B379" s="0" t="s">
        <v>9</v>
      </c>
      <c r="C379" s="0" t="str">
        <f aca="false">"134-145"</f>
        <v>134-145</v>
      </c>
      <c r="D379" s="0" t="s">
        <v>9</v>
      </c>
      <c r="E379" s="0" t="str">
        <f aca="false">"229-240"</f>
        <v>229-240</v>
      </c>
      <c r="F379" s="0" t="s">
        <v>398</v>
      </c>
      <c r="G379" s="0" t="s">
        <v>9</v>
      </c>
      <c r="H379" s="0" t="str">
        <f aca="false">"306-317"</f>
        <v>306-317</v>
      </c>
      <c r="I379" s="0" t="s">
        <v>9</v>
      </c>
      <c r="J379" s="0" t="str">
        <f aca="false">"325-336"</f>
        <v>325-336</v>
      </c>
      <c r="K379" s="0" t="str">
        <f aca="false">"0.57"</f>
        <v>0.57</v>
      </c>
      <c r="L379" s="0" t="str">
        <f aca="false">"9.16"</f>
        <v>9.16</v>
      </c>
      <c r="M379" s="0" t="str">
        <f aca="false">"-149.7"</f>
        <v>-149.7</v>
      </c>
    </row>
    <row r="380" customFormat="false" ht="12.8" hidden="false" customHeight="false" outlineLevel="0" collapsed="false">
      <c r="A380" s="0" t="s">
        <v>8</v>
      </c>
      <c r="B380" s="0" t="s">
        <v>9</v>
      </c>
      <c r="C380" s="0" t="str">
        <f aca="false">"134-145"</f>
        <v>134-145</v>
      </c>
      <c r="D380" s="0" t="s">
        <v>9</v>
      </c>
      <c r="E380" s="0" t="str">
        <f aca="false">"229-240"</f>
        <v>229-240</v>
      </c>
      <c r="F380" s="0" t="s">
        <v>399</v>
      </c>
      <c r="G380" s="0" t="s">
        <v>9</v>
      </c>
      <c r="H380" s="0" t="str">
        <f aca="false">"9-20"</f>
        <v>9-20</v>
      </c>
      <c r="I380" s="0" t="s">
        <v>9</v>
      </c>
      <c r="J380" s="0" t="str">
        <f aca="false">"49-60"</f>
        <v>49-60</v>
      </c>
      <c r="K380" s="0" t="str">
        <f aca="false">"0.67"</f>
        <v>0.67</v>
      </c>
      <c r="L380" s="0" t="str">
        <f aca="false">"9.05"</f>
        <v>9.05</v>
      </c>
      <c r="M380" s="0" t="str">
        <f aca="false">"-154.1"</f>
        <v>-154.1</v>
      </c>
    </row>
    <row r="381" customFormat="false" ht="12.8" hidden="false" customHeight="false" outlineLevel="0" collapsed="false">
      <c r="A381" s="0" t="s">
        <v>8</v>
      </c>
      <c r="B381" s="0" t="s">
        <v>9</v>
      </c>
      <c r="C381" s="0" t="str">
        <f aca="false">"127-138"</f>
        <v>127-138</v>
      </c>
      <c r="D381" s="0" t="s">
        <v>9</v>
      </c>
      <c r="E381" s="0" t="str">
        <f aca="false">"234-245"</f>
        <v>234-245</v>
      </c>
      <c r="F381" s="0" t="s">
        <v>400</v>
      </c>
      <c r="G381" s="0" t="s">
        <v>9</v>
      </c>
      <c r="H381" s="0" t="str">
        <f aca="false">"43-54"</f>
        <v>43-54</v>
      </c>
      <c r="I381" s="0" t="s">
        <v>9</v>
      </c>
      <c r="J381" s="0" t="str">
        <f aca="false">"60-71"</f>
        <v>60-71</v>
      </c>
      <c r="K381" s="0" t="str">
        <f aca="false">"1.01"</f>
        <v>1.01</v>
      </c>
      <c r="L381" s="0" t="str">
        <f aca="false">"9.66"</f>
        <v>9.66</v>
      </c>
      <c r="M381" s="0" t="str">
        <f aca="false">"-152.7"</f>
        <v>-152.7</v>
      </c>
    </row>
    <row r="382" customFormat="false" ht="12.8" hidden="false" customHeight="false" outlineLevel="0" collapsed="false">
      <c r="A382" s="0" t="s">
        <v>8</v>
      </c>
      <c r="B382" s="0" t="s">
        <v>9</v>
      </c>
      <c r="C382" s="0" t="str">
        <f aca="false">"134-145"</f>
        <v>134-145</v>
      </c>
      <c r="D382" s="0" t="s">
        <v>9</v>
      </c>
      <c r="E382" s="0" t="str">
        <f aca="false">"229-240"</f>
        <v>229-240</v>
      </c>
      <c r="F382" s="0" t="s">
        <v>401</v>
      </c>
      <c r="G382" s="0" t="s">
        <v>9</v>
      </c>
      <c r="H382" s="0" t="str">
        <f aca="false">"223-234"</f>
        <v>223-234</v>
      </c>
      <c r="I382" s="0" t="s">
        <v>9</v>
      </c>
      <c r="J382" s="0" t="str">
        <f aca="false">"242-253"</f>
        <v>242-253</v>
      </c>
      <c r="K382" s="0" t="str">
        <f aca="false">"0.74"</f>
        <v>0.74</v>
      </c>
      <c r="L382" s="0" t="str">
        <f aca="false">"8.23"</f>
        <v>8.23</v>
      </c>
      <c r="M382" s="0" t="str">
        <f aca="false">"-153.2"</f>
        <v>-153.2</v>
      </c>
    </row>
    <row r="383" customFormat="false" ht="12.8" hidden="false" customHeight="false" outlineLevel="0" collapsed="false">
      <c r="A383" s="0" t="s">
        <v>8</v>
      </c>
      <c r="B383" s="0" t="s">
        <v>9</v>
      </c>
      <c r="C383" s="0" t="str">
        <f aca="false">"134-145"</f>
        <v>134-145</v>
      </c>
      <c r="D383" s="0" t="s">
        <v>9</v>
      </c>
      <c r="E383" s="0" t="str">
        <f aca="false">"229-240"</f>
        <v>229-240</v>
      </c>
      <c r="F383" s="0" t="s">
        <v>402</v>
      </c>
      <c r="G383" s="0" t="s">
        <v>71</v>
      </c>
      <c r="H383" s="0" t="str">
        <f aca="false">"256-267"</f>
        <v>256-267</v>
      </c>
      <c r="I383" s="0" t="s">
        <v>71</v>
      </c>
      <c r="J383" s="0" t="str">
        <f aca="false">"274-285"</f>
        <v>274-285</v>
      </c>
      <c r="K383" s="0" t="str">
        <f aca="false">"1.23"</f>
        <v>1.23</v>
      </c>
      <c r="L383" s="0" t="str">
        <f aca="false">"9.76"</f>
        <v>9.76</v>
      </c>
      <c r="M383" s="0" t="str">
        <f aca="false">"-154.4"</f>
        <v>-154.4</v>
      </c>
    </row>
    <row r="384" customFormat="false" ht="12.8" hidden="false" customHeight="false" outlineLevel="0" collapsed="false">
      <c r="A384" s="0" t="s">
        <v>8</v>
      </c>
      <c r="B384" s="0" t="s">
        <v>9</v>
      </c>
      <c r="C384" s="0" t="str">
        <f aca="false">"134-145"</f>
        <v>134-145</v>
      </c>
      <c r="D384" s="0" t="s">
        <v>9</v>
      </c>
      <c r="E384" s="0" t="str">
        <f aca="false">"227-238"</f>
        <v>227-238</v>
      </c>
      <c r="F384" s="0" t="s">
        <v>403</v>
      </c>
      <c r="G384" s="0" t="s">
        <v>9</v>
      </c>
      <c r="H384" s="0" t="str">
        <f aca="false">"90-101"</f>
        <v>90-101</v>
      </c>
      <c r="I384" s="0" t="s">
        <v>9</v>
      </c>
      <c r="J384" s="0" t="str">
        <f aca="false">"107-118"</f>
        <v>107-118</v>
      </c>
      <c r="K384" s="0" t="str">
        <f aca="false">"1.05"</f>
        <v>1.05</v>
      </c>
      <c r="L384" s="0" t="str">
        <f aca="false">"10.00"</f>
        <v>10.00</v>
      </c>
      <c r="M384" s="0" t="str">
        <f aca="false">"-153.4"</f>
        <v>-153.4</v>
      </c>
    </row>
    <row r="385" customFormat="false" ht="12.8" hidden="false" customHeight="false" outlineLevel="0" collapsed="false">
      <c r="A385" s="0" t="s">
        <v>8</v>
      </c>
      <c r="B385" s="0" t="s">
        <v>9</v>
      </c>
      <c r="C385" s="0" t="str">
        <f aca="false">"136-147"</f>
        <v>136-147</v>
      </c>
      <c r="D385" s="0" t="s">
        <v>9</v>
      </c>
      <c r="E385" s="0" t="str">
        <f aca="false">"225-236"</f>
        <v>225-236</v>
      </c>
      <c r="F385" s="0" t="s">
        <v>404</v>
      </c>
      <c r="G385" s="0" t="s">
        <v>9</v>
      </c>
      <c r="H385" s="0" t="str">
        <f aca="false">"104-115"</f>
        <v>104-115</v>
      </c>
      <c r="I385" s="0" t="s">
        <v>9</v>
      </c>
      <c r="J385" s="0" t="str">
        <f aca="false">"120-131"</f>
        <v>120-131</v>
      </c>
      <c r="K385" s="0" t="str">
        <f aca="false">"1.03"</f>
        <v>1.03</v>
      </c>
      <c r="L385" s="0" t="str">
        <f aca="false">"9.52"</f>
        <v>9.52</v>
      </c>
      <c r="M385" s="0" t="str">
        <f aca="false">"-146.9"</f>
        <v>-146.9</v>
      </c>
    </row>
    <row r="386" customFormat="false" ht="12.8" hidden="false" customHeight="false" outlineLevel="0" collapsed="false">
      <c r="A386" s="0" t="s">
        <v>8</v>
      </c>
      <c r="B386" s="0" t="s">
        <v>9</v>
      </c>
      <c r="C386" s="0" t="str">
        <f aca="false">"136-147"</f>
        <v>136-147</v>
      </c>
      <c r="D386" s="0" t="s">
        <v>9</v>
      </c>
      <c r="E386" s="0" t="str">
        <f aca="false">"225-236"</f>
        <v>225-236</v>
      </c>
      <c r="F386" s="0" t="s">
        <v>405</v>
      </c>
      <c r="G386" s="0" t="s">
        <v>9</v>
      </c>
      <c r="H386" s="0" t="str">
        <f aca="false">"309-320"</f>
        <v>309-320</v>
      </c>
      <c r="I386" s="0" t="s">
        <v>9</v>
      </c>
      <c r="J386" s="0" t="str">
        <f aca="false">"337-348"</f>
        <v>337-348</v>
      </c>
      <c r="K386" s="0" t="str">
        <f aca="false">"0.85"</f>
        <v>0.85</v>
      </c>
      <c r="L386" s="0" t="str">
        <f aca="false">"9.57"</f>
        <v>9.57</v>
      </c>
      <c r="M386" s="0" t="str">
        <f aca="false">"-161.9"</f>
        <v>-161.9</v>
      </c>
    </row>
    <row r="387" customFormat="false" ht="12.8" hidden="false" customHeight="false" outlineLevel="0" collapsed="false">
      <c r="A387" s="0" t="s">
        <v>8</v>
      </c>
      <c r="B387" s="0" t="s">
        <v>9</v>
      </c>
      <c r="C387" s="0" t="str">
        <f aca="false">"129-140"</f>
        <v>129-140</v>
      </c>
      <c r="D387" s="0" t="s">
        <v>9</v>
      </c>
      <c r="E387" s="0" t="str">
        <f aca="false">"232-243"</f>
        <v>232-243</v>
      </c>
      <c r="F387" s="0" t="s">
        <v>406</v>
      </c>
      <c r="G387" s="0" t="s">
        <v>9</v>
      </c>
      <c r="H387" s="0" t="str">
        <f aca="false">"477-488"</f>
        <v>477-488</v>
      </c>
      <c r="I387" s="0" t="s">
        <v>9</v>
      </c>
      <c r="J387" s="0" t="str">
        <f aca="false">"493-504"</f>
        <v>493-504</v>
      </c>
      <c r="K387" s="0" t="str">
        <f aca="false">"0.75"</f>
        <v>0.75</v>
      </c>
      <c r="L387" s="0" t="str">
        <f aca="false">"9.45"</f>
        <v>9.45</v>
      </c>
      <c r="M387" s="0" t="str">
        <f aca="false">"-158.1"</f>
        <v>-158.1</v>
      </c>
    </row>
    <row r="388" customFormat="false" ht="12.8" hidden="false" customHeight="false" outlineLevel="0" collapsed="false">
      <c r="A388" s="0" t="s">
        <v>8</v>
      </c>
      <c r="B388" s="0" t="s">
        <v>9</v>
      </c>
      <c r="C388" s="0" t="str">
        <f aca="false">"128-139"</f>
        <v>128-139</v>
      </c>
      <c r="D388" s="0" t="s">
        <v>9</v>
      </c>
      <c r="E388" s="0" t="str">
        <f aca="false">"234-245"</f>
        <v>234-245</v>
      </c>
      <c r="F388" s="0" t="s">
        <v>407</v>
      </c>
      <c r="G388" s="0" t="s">
        <v>9</v>
      </c>
      <c r="H388" s="0" t="str">
        <f aca="false">"598-609"</f>
        <v>598-609</v>
      </c>
      <c r="I388" s="0" t="s">
        <v>9</v>
      </c>
      <c r="J388" s="0" t="str">
        <f aca="false">"614-625"</f>
        <v>614-625</v>
      </c>
      <c r="K388" s="0" t="str">
        <f aca="false">"1.07"</f>
        <v>1.07</v>
      </c>
      <c r="L388" s="0" t="str">
        <f aca="false">"9.60"</f>
        <v>9.60</v>
      </c>
      <c r="M388" s="0" t="str">
        <f aca="false">"-157.1"</f>
        <v>-157.1</v>
      </c>
    </row>
    <row r="389" customFormat="false" ht="12.8" hidden="false" customHeight="false" outlineLevel="0" collapsed="false">
      <c r="A389" s="0" t="s">
        <v>8</v>
      </c>
      <c r="B389" s="0" t="s">
        <v>9</v>
      </c>
      <c r="C389" s="0" t="str">
        <f aca="false">"134-145"</f>
        <v>134-145</v>
      </c>
      <c r="D389" s="0" t="s">
        <v>9</v>
      </c>
      <c r="E389" s="0" t="str">
        <f aca="false">"229-240"</f>
        <v>229-240</v>
      </c>
      <c r="F389" s="0" t="s">
        <v>408</v>
      </c>
      <c r="G389" s="0" t="s">
        <v>9</v>
      </c>
      <c r="H389" s="0" t="str">
        <f aca="false">"86-97"</f>
        <v>86-97</v>
      </c>
      <c r="I389" s="0" t="s">
        <v>9</v>
      </c>
      <c r="J389" s="0" t="str">
        <f aca="false">"110-121"</f>
        <v>110-121</v>
      </c>
      <c r="K389" s="0" t="str">
        <f aca="false">"0.89"</f>
        <v>0.89</v>
      </c>
      <c r="L389" s="0" t="str">
        <f aca="false">"9.54"</f>
        <v>9.54</v>
      </c>
      <c r="M389" s="0" t="str">
        <f aca="false">"-142.0"</f>
        <v>-142.0</v>
      </c>
    </row>
    <row r="390" customFormat="false" ht="12.8" hidden="false" customHeight="false" outlineLevel="0" collapsed="false">
      <c r="A390" s="0" t="s">
        <v>8</v>
      </c>
      <c r="B390" s="0" t="s">
        <v>9</v>
      </c>
      <c r="C390" s="0" t="str">
        <f aca="false">"136-147"</f>
        <v>136-147</v>
      </c>
      <c r="D390" s="0" t="s">
        <v>9</v>
      </c>
      <c r="E390" s="0" t="str">
        <f aca="false">"225-236"</f>
        <v>225-236</v>
      </c>
      <c r="F390" s="0" t="s">
        <v>409</v>
      </c>
      <c r="G390" s="0" t="s">
        <v>9</v>
      </c>
      <c r="H390" s="0" t="str">
        <f aca="false">"252-263"</f>
        <v>252-263</v>
      </c>
      <c r="I390" s="0" t="s">
        <v>9</v>
      </c>
      <c r="J390" s="0" t="str">
        <f aca="false">"270-281"</f>
        <v>270-281</v>
      </c>
      <c r="K390" s="0" t="str">
        <f aca="false">"1.14"</f>
        <v>1.14</v>
      </c>
      <c r="L390" s="0" t="str">
        <f aca="false">"9.04"</f>
        <v>9.04</v>
      </c>
      <c r="M390" s="0" t="str">
        <f aca="false">"-138.5"</f>
        <v>-138.5</v>
      </c>
    </row>
    <row r="391" customFormat="false" ht="12.8" hidden="false" customHeight="false" outlineLevel="0" collapsed="false">
      <c r="A391" s="0" t="s">
        <v>8</v>
      </c>
      <c r="B391" s="0" t="s">
        <v>9</v>
      </c>
      <c r="C391" s="0" t="str">
        <f aca="false">"134-145"</f>
        <v>134-145</v>
      </c>
      <c r="D391" s="0" t="s">
        <v>9</v>
      </c>
      <c r="E391" s="0" t="str">
        <f aca="false">"229-240"</f>
        <v>229-240</v>
      </c>
      <c r="F391" s="0" t="s">
        <v>410</v>
      </c>
      <c r="G391" s="0" t="s">
        <v>9</v>
      </c>
      <c r="H391" s="0" t="str">
        <f aca="false">"194-205"</f>
        <v>194-205</v>
      </c>
      <c r="I391" s="0" t="s">
        <v>9</v>
      </c>
      <c r="J391" s="0" t="str">
        <f aca="false">"218-229"</f>
        <v>218-229</v>
      </c>
      <c r="K391" s="0" t="str">
        <f aca="false">"0.74"</f>
        <v>0.74</v>
      </c>
      <c r="L391" s="0" t="str">
        <f aca="false">"9.28"</f>
        <v>9.28</v>
      </c>
      <c r="M391" s="0" t="str">
        <f aca="false">"-154.2"</f>
        <v>-154.2</v>
      </c>
    </row>
    <row r="392" customFormat="false" ht="12.8" hidden="false" customHeight="false" outlineLevel="0" collapsed="false">
      <c r="A392" s="0" t="s">
        <v>8</v>
      </c>
      <c r="B392" s="0" t="s">
        <v>9</v>
      </c>
      <c r="C392" s="0" t="str">
        <f aca="false">"134-145"</f>
        <v>134-145</v>
      </c>
      <c r="D392" s="0" t="s">
        <v>9</v>
      </c>
      <c r="E392" s="0" t="str">
        <f aca="false">"229-240"</f>
        <v>229-240</v>
      </c>
      <c r="F392" s="0" t="s">
        <v>411</v>
      </c>
      <c r="G392" s="0" t="s">
        <v>9</v>
      </c>
      <c r="H392" s="0" t="str">
        <f aca="false">"569-580"</f>
        <v>569-580</v>
      </c>
      <c r="I392" s="0" t="s">
        <v>9</v>
      </c>
      <c r="J392" s="0" t="str">
        <f aca="false">"480-491"</f>
        <v>480-491</v>
      </c>
      <c r="K392" s="0" t="str">
        <f aca="false">"1.09"</f>
        <v>1.09</v>
      </c>
      <c r="L392" s="0" t="str">
        <f aca="false">"10.33"</f>
        <v>10.33</v>
      </c>
      <c r="M392" s="0" t="str">
        <f aca="false">"-145.7"</f>
        <v>-145.7</v>
      </c>
    </row>
    <row r="393" customFormat="false" ht="12.8" hidden="false" customHeight="false" outlineLevel="0" collapsed="false">
      <c r="A393" s="0" t="s">
        <v>8</v>
      </c>
      <c r="B393" s="0" t="s">
        <v>9</v>
      </c>
      <c r="C393" s="0" t="str">
        <f aca="false">"137-148"</f>
        <v>137-148</v>
      </c>
      <c r="D393" s="0" t="s">
        <v>9</v>
      </c>
      <c r="E393" s="0" t="str">
        <f aca="false">"225-236"</f>
        <v>225-236</v>
      </c>
      <c r="F393" s="0" t="s">
        <v>412</v>
      </c>
      <c r="G393" s="0" t="s">
        <v>9</v>
      </c>
      <c r="H393" s="0" t="str">
        <f aca="false">"59-70"</f>
        <v>59-70</v>
      </c>
      <c r="I393" s="0" t="s">
        <v>9</v>
      </c>
      <c r="J393" s="0" t="str">
        <f aca="false">"92-103"</f>
        <v>92-103</v>
      </c>
      <c r="K393" s="0" t="str">
        <f aca="false">"1.10"</f>
        <v>1.10</v>
      </c>
      <c r="L393" s="0" t="str">
        <f aca="false">"8.94"</f>
        <v>8.94</v>
      </c>
      <c r="M393" s="0" t="str">
        <f aca="false">"-145.0"</f>
        <v>-145.0</v>
      </c>
    </row>
    <row r="394" customFormat="false" ht="12.8" hidden="false" customHeight="false" outlineLevel="0" collapsed="false">
      <c r="A394" s="0" t="s">
        <v>8</v>
      </c>
      <c r="B394" s="0" t="s">
        <v>9</v>
      </c>
      <c r="C394" s="0" t="str">
        <f aca="false">"135-146"</f>
        <v>135-146</v>
      </c>
      <c r="D394" s="0" t="s">
        <v>9</v>
      </c>
      <c r="E394" s="0" t="str">
        <f aca="false">"226-237"</f>
        <v>226-237</v>
      </c>
      <c r="F394" s="0" t="s">
        <v>413</v>
      </c>
      <c r="G394" s="0" t="s">
        <v>9</v>
      </c>
      <c r="H394" s="0" t="str">
        <f aca="false">"470-481"</f>
        <v>470-481</v>
      </c>
      <c r="I394" s="0" t="s">
        <v>9</v>
      </c>
      <c r="J394" s="0" t="str">
        <f aca="false">"393-404"</f>
        <v>393-404</v>
      </c>
      <c r="K394" s="0" t="str">
        <f aca="false">"1.23"</f>
        <v>1.23</v>
      </c>
      <c r="L394" s="0" t="str">
        <f aca="false">"8.74"</f>
        <v>8.74</v>
      </c>
      <c r="M394" s="0" t="str">
        <f aca="false">"-150.6"</f>
        <v>-150.6</v>
      </c>
    </row>
    <row r="395" customFormat="false" ht="12.8" hidden="false" customHeight="false" outlineLevel="0" collapsed="false">
      <c r="A395" s="0" t="s">
        <v>8</v>
      </c>
      <c r="B395" s="0" t="s">
        <v>9</v>
      </c>
      <c r="C395" s="0" t="str">
        <f aca="false">"137-148"</f>
        <v>137-148</v>
      </c>
      <c r="D395" s="0" t="s">
        <v>9</v>
      </c>
      <c r="E395" s="0" t="str">
        <f aca="false">"225-236"</f>
        <v>225-236</v>
      </c>
      <c r="F395" s="0" t="s">
        <v>414</v>
      </c>
      <c r="G395" s="0" t="s">
        <v>9</v>
      </c>
      <c r="H395" s="0" t="str">
        <f aca="false">"196-207"</f>
        <v>196-207</v>
      </c>
      <c r="I395" s="0" t="s">
        <v>9</v>
      </c>
      <c r="J395" s="0" t="str">
        <f aca="false">"180-191"</f>
        <v>180-191</v>
      </c>
      <c r="K395" s="0" t="str">
        <f aca="false">"1.18"</f>
        <v>1.18</v>
      </c>
      <c r="L395" s="0" t="str">
        <f aca="false">"8.68"</f>
        <v>8.68</v>
      </c>
      <c r="M395" s="0" t="str">
        <f aca="false">"-139.3"</f>
        <v>-139.3</v>
      </c>
    </row>
    <row r="396" customFormat="false" ht="12.8" hidden="false" customHeight="false" outlineLevel="0" collapsed="false">
      <c r="A396" s="0" t="s">
        <v>8</v>
      </c>
      <c r="B396" s="0" t="s">
        <v>9</v>
      </c>
      <c r="C396" s="0" t="str">
        <f aca="false">"135-146"</f>
        <v>135-146</v>
      </c>
      <c r="D396" s="0" t="s">
        <v>9</v>
      </c>
      <c r="E396" s="0" t="str">
        <f aca="false">"226-237"</f>
        <v>226-237</v>
      </c>
      <c r="F396" s="0" t="s">
        <v>415</v>
      </c>
      <c r="G396" s="0" t="s">
        <v>9</v>
      </c>
      <c r="H396" s="0" t="str">
        <f aca="false">"693-704"</f>
        <v>693-704</v>
      </c>
      <c r="I396" s="0" t="s">
        <v>9</v>
      </c>
      <c r="J396" s="0" t="str">
        <f aca="false">"710-721"</f>
        <v>710-721</v>
      </c>
      <c r="K396" s="0" t="str">
        <f aca="false">"0.93"</f>
        <v>0.93</v>
      </c>
      <c r="L396" s="0" t="str">
        <f aca="false">"9.64"</f>
        <v>9.64</v>
      </c>
      <c r="M396" s="0" t="str">
        <f aca="false">"-149.3"</f>
        <v>-149.3</v>
      </c>
    </row>
    <row r="397" customFormat="false" ht="12.8" hidden="false" customHeight="false" outlineLevel="0" collapsed="false">
      <c r="A397" s="0" t="s">
        <v>8</v>
      </c>
      <c r="B397" s="0" t="s">
        <v>9</v>
      </c>
      <c r="C397" s="0" t="str">
        <f aca="false">"135-146"</f>
        <v>135-146</v>
      </c>
      <c r="D397" s="0" t="s">
        <v>9</v>
      </c>
      <c r="E397" s="0" t="str">
        <f aca="false">"226-237"</f>
        <v>226-237</v>
      </c>
      <c r="F397" s="0" t="s">
        <v>416</v>
      </c>
      <c r="G397" s="0" t="s">
        <v>9</v>
      </c>
      <c r="H397" s="0" t="str">
        <f aca="false">"42-53"</f>
        <v>42-53</v>
      </c>
      <c r="I397" s="0" t="s">
        <v>9</v>
      </c>
      <c r="J397" s="0" t="str">
        <f aca="false">"223-234"</f>
        <v>223-234</v>
      </c>
      <c r="K397" s="0" t="str">
        <f aca="false">"0.69"</f>
        <v>0.69</v>
      </c>
      <c r="L397" s="0" t="str">
        <f aca="false">"9.39"</f>
        <v>9.39</v>
      </c>
      <c r="M397" s="0" t="str">
        <f aca="false">"-149.2"</f>
        <v>-149.2</v>
      </c>
    </row>
    <row r="398" customFormat="false" ht="12.8" hidden="false" customHeight="false" outlineLevel="0" collapsed="false">
      <c r="A398" s="0" t="s">
        <v>8</v>
      </c>
      <c r="B398" s="0" t="s">
        <v>9</v>
      </c>
      <c r="C398" s="0" t="str">
        <f aca="false">"135-146"</f>
        <v>135-146</v>
      </c>
      <c r="D398" s="0" t="s">
        <v>9</v>
      </c>
      <c r="E398" s="0" t="str">
        <f aca="false">"226-237"</f>
        <v>226-237</v>
      </c>
      <c r="F398" s="0" t="s">
        <v>417</v>
      </c>
      <c r="G398" s="0" t="s">
        <v>9</v>
      </c>
      <c r="H398" s="0" t="str">
        <f aca="false">"235-246"</f>
        <v>235-246</v>
      </c>
      <c r="I398" s="0" t="s">
        <v>9</v>
      </c>
      <c r="J398" s="0" t="str">
        <f aca="false">"291-302"</f>
        <v>291-302</v>
      </c>
      <c r="K398" s="0" t="str">
        <f aca="false">"0.91"</f>
        <v>0.91</v>
      </c>
      <c r="L398" s="0" t="str">
        <f aca="false">"9.64"</f>
        <v>9.64</v>
      </c>
      <c r="M398" s="0" t="str">
        <f aca="false">"-160.8"</f>
        <v>-160.8</v>
      </c>
    </row>
    <row r="399" customFormat="false" ht="12.8" hidden="false" customHeight="false" outlineLevel="0" collapsed="false">
      <c r="A399" s="0" t="s">
        <v>8</v>
      </c>
      <c r="B399" s="0" t="s">
        <v>9</v>
      </c>
      <c r="C399" s="0" t="str">
        <f aca="false">"134-145"</f>
        <v>134-145</v>
      </c>
      <c r="D399" s="0" t="s">
        <v>9</v>
      </c>
      <c r="E399" s="0" t="str">
        <f aca="false">"226-237"</f>
        <v>226-237</v>
      </c>
      <c r="F399" s="0" t="s">
        <v>418</v>
      </c>
      <c r="G399" s="0" t="s">
        <v>9</v>
      </c>
      <c r="H399" s="0" t="str">
        <f aca="false">"384-395"</f>
        <v>384-395</v>
      </c>
      <c r="I399" s="0" t="s">
        <v>9</v>
      </c>
      <c r="J399" s="0" t="str">
        <f aca="false">"430-441"</f>
        <v>430-441</v>
      </c>
      <c r="K399" s="0" t="str">
        <f aca="false">"1.02"</f>
        <v>1.02</v>
      </c>
      <c r="L399" s="0" t="str">
        <f aca="false">"8.93"</f>
        <v>8.93</v>
      </c>
      <c r="M399" s="0" t="str">
        <f aca="false">"-156.9"</f>
        <v>-156.9</v>
      </c>
    </row>
    <row r="400" customFormat="false" ht="12.8" hidden="false" customHeight="false" outlineLevel="0" collapsed="false">
      <c r="A400" s="0" t="s">
        <v>8</v>
      </c>
      <c r="B400" s="0" t="s">
        <v>9</v>
      </c>
      <c r="C400" s="0" t="str">
        <f aca="false">"135-146"</f>
        <v>135-146</v>
      </c>
      <c r="D400" s="0" t="s">
        <v>9</v>
      </c>
      <c r="E400" s="0" t="str">
        <f aca="false">"225-236"</f>
        <v>225-236</v>
      </c>
      <c r="F400" s="0" t="s">
        <v>419</v>
      </c>
      <c r="G400" s="0" t="s">
        <v>9</v>
      </c>
      <c r="H400" s="0" t="str">
        <f aca="false">"203-214"</f>
        <v>203-214</v>
      </c>
      <c r="I400" s="0" t="s">
        <v>9</v>
      </c>
      <c r="J400" s="0" t="str">
        <f aca="false">"61-72"</f>
        <v>61-72</v>
      </c>
      <c r="K400" s="0" t="str">
        <f aca="false">"0.68"</f>
        <v>0.68</v>
      </c>
      <c r="L400" s="0" t="str">
        <f aca="false">"9.68"</f>
        <v>9.68</v>
      </c>
      <c r="M400" s="0" t="str">
        <f aca="false">"-149.1"</f>
        <v>-149.1</v>
      </c>
    </row>
    <row r="401" customFormat="false" ht="12.8" hidden="false" customHeight="false" outlineLevel="0" collapsed="false">
      <c r="A401" s="0" t="s">
        <v>8</v>
      </c>
      <c r="B401" s="0" t="s">
        <v>9</v>
      </c>
      <c r="C401" s="0" t="str">
        <f aca="false">"135-146"</f>
        <v>135-146</v>
      </c>
      <c r="D401" s="0" t="s">
        <v>9</v>
      </c>
      <c r="E401" s="0" t="str">
        <f aca="false">"225-236"</f>
        <v>225-236</v>
      </c>
      <c r="F401" s="0" t="s">
        <v>420</v>
      </c>
      <c r="G401" s="0" t="s">
        <v>13</v>
      </c>
      <c r="H401" s="0" t="str">
        <f aca="false">"154-165"</f>
        <v>154-165</v>
      </c>
      <c r="I401" s="0" t="s">
        <v>9</v>
      </c>
      <c r="J401" s="0" t="str">
        <f aca="false">"146-157"</f>
        <v>146-157</v>
      </c>
      <c r="K401" s="0" t="str">
        <f aca="false">"1.19"</f>
        <v>1.19</v>
      </c>
      <c r="L401" s="0" t="str">
        <f aca="false">"8.96"</f>
        <v>8.96</v>
      </c>
      <c r="M401" s="0" t="str">
        <f aca="false">"-161.5"</f>
        <v>-161.5</v>
      </c>
    </row>
    <row r="402" customFormat="false" ht="12.8" hidden="false" customHeight="false" outlineLevel="0" collapsed="false">
      <c r="A402" s="0" t="s">
        <v>8</v>
      </c>
      <c r="B402" s="0" t="s">
        <v>9</v>
      </c>
      <c r="C402" s="0" t="str">
        <f aca="false">"134-145"</f>
        <v>134-145</v>
      </c>
      <c r="D402" s="0" t="s">
        <v>9</v>
      </c>
      <c r="E402" s="0" t="str">
        <f aca="false">"226-237"</f>
        <v>226-237</v>
      </c>
      <c r="F402" s="0" t="s">
        <v>421</v>
      </c>
      <c r="G402" s="0" t="s">
        <v>9</v>
      </c>
      <c r="H402" s="0" t="str">
        <f aca="false">"178-189"</f>
        <v>178-189</v>
      </c>
      <c r="I402" s="0" t="s">
        <v>9</v>
      </c>
      <c r="J402" s="0" t="str">
        <f aca="false">"51-62"</f>
        <v>51-62</v>
      </c>
      <c r="K402" s="0" t="str">
        <f aca="false">"1.25"</f>
        <v>1.25</v>
      </c>
      <c r="L402" s="0" t="str">
        <f aca="false">"9.91"</f>
        <v>9.91</v>
      </c>
      <c r="M402" s="0" t="str">
        <f aca="false">"-144.4"</f>
        <v>-144.4</v>
      </c>
    </row>
    <row r="403" customFormat="false" ht="12.8" hidden="false" customHeight="false" outlineLevel="0" collapsed="false">
      <c r="A403" s="0" t="s">
        <v>8</v>
      </c>
      <c r="B403" s="0" t="s">
        <v>9</v>
      </c>
      <c r="C403" s="0" t="str">
        <f aca="false">"134-145"</f>
        <v>134-145</v>
      </c>
      <c r="D403" s="0" t="s">
        <v>9</v>
      </c>
      <c r="E403" s="0" t="str">
        <f aca="false">"226-237"</f>
        <v>226-237</v>
      </c>
      <c r="F403" s="0" t="s">
        <v>422</v>
      </c>
      <c r="G403" s="0" t="s">
        <v>9</v>
      </c>
      <c r="H403" s="0" t="str">
        <f aca="false">"185-196"</f>
        <v>185-196</v>
      </c>
      <c r="I403" s="0" t="s">
        <v>9</v>
      </c>
      <c r="J403" s="0" t="str">
        <f aca="false">"218-229"</f>
        <v>218-229</v>
      </c>
      <c r="K403" s="0" t="str">
        <f aca="false">"0.77"</f>
        <v>0.77</v>
      </c>
      <c r="L403" s="0" t="str">
        <f aca="false">"10.02"</f>
        <v>10.02</v>
      </c>
      <c r="M403" s="0" t="str">
        <f aca="false">"-149.6"</f>
        <v>-149.6</v>
      </c>
    </row>
    <row r="404" customFormat="false" ht="12.8" hidden="false" customHeight="false" outlineLevel="0" collapsed="false">
      <c r="A404" s="0" t="s">
        <v>8</v>
      </c>
      <c r="B404" s="0" t="s">
        <v>9</v>
      </c>
      <c r="C404" s="0" t="str">
        <f aca="false">"134-145"</f>
        <v>134-145</v>
      </c>
      <c r="D404" s="0" t="s">
        <v>9</v>
      </c>
      <c r="E404" s="0" t="str">
        <f aca="false">"225-236"</f>
        <v>225-236</v>
      </c>
      <c r="F404" s="0" t="s">
        <v>423</v>
      </c>
      <c r="G404" s="0" t="s">
        <v>9</v>
      </c>
      <c r="H404" s="0" t="str">
        <f aca="false">"187-198"</f>
        <v>187-198</v>
      </c>
      <c r="I404" s="0" t="s">
        <v>9</v>
      </c>
      <c r="J404" s="0" t="str">
        <f aca="false">"162-173"</f>
        <v>162-173</v>
      </c>
      <c r="K404" s="0" t="str">
        <f aca="false">"1.12"</f>
        <v>1.12</v>
      </c>
      <c r="L404" s="0" t="str">
        <f aca="false">"10.30"</f>
        <v>10.30</v>
      </c>
      <c r="M404" s="0" t="str">
        <f aca="false">"-154.4"</f>
        <v>-154.4</v>
      </c>
    </row>
    <row r="405" customFormat="false" ht="12.8" hidden="false" customHeight="false" outlineLevel="0" collapsed="false">
      <c r="A405" s="0" t="s">
        <v>8</v>
      </c>
      <c r="B405" s="0" t="s">
        <v>9</v>
      </c>
      <c r="C405" s="0" t="str">
        <f aca="false">"133-144"</f>
        <v>133-144</v>
      </c>
      <c r="D405" s="0" t="s">
        <v>9</v>
      </c>
      <c r="E405" s="0" t="str">
        <f aca="false">"230-241"</f>
        <v>230-241</v>
      </c>
      <c r="F405" s="0" t="s">
        <v>424</v>
      </c>
      <c r="G405" s="0" t="s">
        <v>9</v>
      </c>
      <c r="H405" s="0" t="str">
        <f aca="false">"104-115"</f>
        <v>104-115</v>
      </c>
      <c r="I405" s="0" t="s">
        <v>9</v>
      </c>
      <c r="J405" s="0" t="str">
        <f aca="false">"118-129"</f>
        <v>118-129</v>
      </c>
      <c r="K405" s="0" t="str">
        <f aca="false">"0.84"</f>
        <v>0.84</v>
      </c>
      <c r="L405" s="0" t="str">
        <f aca="false">"8.88"</f>
        <v>8.88</v>
      </c>
      <c r="M405" s="0" t="str">
        <f aca="false">"-156.1"</f>
        <v>-156.1</v>
      </c>
    </row>
    <row r="406" customFormat="false" ht="12.8" hidden="false" customHeight="false" outlineLevel="0" collapsed="false">
      <c r="A406" s="0" t="s">
        <v>8</v>
      </c>
      <c r="B406" s="0" t="s">
        <v>9</v>
      </c>
      <c r="C406" s="0" t="str">
        <f aca="false">"136-147"</f>
        <v>136-147</v>
      </c>
      <c r="D406" s="0" t="s">
        <v>9</v>
      </c>
      <c r="E406" s="0" t="str">
        <f aca="false">"225-236"</f>
        <v>225-236</v>
      </c>
      <c r="F406" s="0" t="s">
        <v>425</v>
      </c>
      <c r="G406" s="0" t="s">
        <v>9</v>
      </c>
      <c r="H406" s="0" t="str">
        <f aca="false">"83-94"</f>
        <v>83-94</v>
      </c>
      <c r="I406" s="0" t="s">
        <v>9</v>
      </c>
      <c r="J406" s="0" t="str">
        <f aca="false">"125-136"</f>
        <v>125-136</v>
      </c>
      <c r="K406" s="0" t="str">
        <f aca="false">"1.21"</f>
        <v>1.21</v>
      </c>
      <c r="L406" s="0" t="str">
        <f aca="false">"9.56"</f>
        <v>9.56</v>
      </c>
      <c r="M406" s="0" t="str">
        <f aca="false">"-142.2"</f>
        <v>-142.2</v>
      </c>
    </row>
    <row r="407" customFormat="false" ht="12.8" hidden="false" customHeight="false" outlineLevel="0" collapsed="false">
      <c r="A407" s="0" t="s">
        <v>8</v>
      </c>
      <c r="B407" s="0" t="s">
        <v>9</v>
      </c>
      <c r="C407" s="0" t="str">
        <f aca="false">"134-145"</f>
        <v>134-145</v>
      </c>
      <c r="D407" s="0" t="s">
        <v>9</v>
      </c>
      <c r="E407" s="0" t="str">
        <f aca="false">"225-236"</f>
        <v>225-236</v>
      </c>
      <c r="F407" s="0" t="s">
        <v>426</v>
      </c>
      <c r="G407" s="0" t="s">
        <v>120</v>
      </c>
      <c r="H407" s="0" t="str">
        <f aca="false">"494-505"</f>
        <v>494-505</v>
      </c>
      <c r="I407" s="0" t="s">
        <v>120</v>
      </c>
      <c r="J407" s="0" t="str">
        <f aca="false">"512-523"</f>
        <v>512-523</v>
      </c>
      <c r="K407" s="0" t="str">
        <f aca="false">"1.17"</f>
        <v>1.17</v>
      </c>
      <c r="L407" s="0" t="str">
        <f aca="false">"10.40"</f>
        <v>10.40</v>
      </c>
      <c r="M407" s="0" t="str">
        <f aca="false">"-145.7"</f>
        <v>-145.7</v>
      </c>
    </row>
    <row r="408" customFormat="false" ht="12.8" hidden="false" customHeight="false" outlineLevel="0" collapsed="false">
      <c r="A408" s="0" t="s">
        <v>8</v>
      </c>
      <c r="B408" s="0" t="s">
        <v>9</v>
      </c>
      <c r="C408" s="0" t="str">
        <f aca="false">"134-145"</f>
        <v>134-145</v>
      </c>
      <c r="D408" s="0" t="s">
        <v>9</v>
      </c>
      <c r="E408" s="0" t="str">
        <f aca="false">"229-240"</f>
        <v>229-240</v>
      </c>
      <c r="F408" s="0" t="s">
        <v>427</v>
      </c>
      <c r="G408" s="0" t="s">
        <v>9</v>
      </c>
      <c r="H408" s="0" t="str">
        <f aca="false">"73-84"</f>
        <v>73-84</v>
      </c>
      <c r="I408" s="0" t="s">
        <v>9</v>
      </c>
      <c r="J408" s="0" t="str">
        <f aca="false">"57-68"</f>
        <v>57-68</v>
      </c>
      <c r="K408" s="0" t="str">
        <f aca="false">"0.78"</f>
        <v>0.78</v>
      </c>
      <c r="L408" s="0" t="str">
        <f aca="false">"9.57"</f>
        <v>9.57</v>
      </c>
      <c r="M408" s="0" t="str">
        <f aca="false">"-156.0"</f>
        <v>-156.0</v>
      </c>
    </row>
    <row r="409" customFormat="false" ht="12.8" hidden="false" customHeight="false" outlineLevel="0" collapsed="false">
      <c r="A409" s="0" t="s">
        <v>8</v>
      </c>
      <c r="B409" s="0" t="s">
        <v>9</v>
      </c>
      <c r="C409" s="0" t="str">
        <f aca="false">"134-145"</f>
        <v>134-145</v>
      </c>
      <c r="D409" s="0" t="s">
        <v>9</v>
      </c>
      <c r="E409" s="0" t="str">
        <f aca="false">"229-240"</f>
        <v>229-240</v>
      </c>
      <c r="F409" s="0" t="s">
        <v>428</v>
      </c>
      <c r="G409" s="0" t="s">
        <v>9</v>
      </c>
      <c r="H409" s="0" t="str">
        <f aca="false">"6-17"</f>
        <v>6-17</v>
      </c>
      <c r="I409" s="0" t="s">
        <v>9</v>
      </c>
      <c r="J409" s="0" t="str">
        <f aca="false">"29-40"</f>
        <v>29-40</v>
      </c>
      <c r="K409" s="0" t="str">
        <f aca="false">"1.04"</f>
        <v>1.04</v>
      </c>
      <c r="L409" s="0" t="str">
        <f aca="false">"9.04"</f>
        <v>9.04</v>
      </c>
      <c r="M409" s="0" t="str">
        <f aca="false">"-159.0"</f>
        <v>-159.0</v>
      </c>
    </row>
    <row r="410" customFormat="false" ht="12.8" hidden="false" customHeight="false" outlineLevel="0" collapsed="false">
      <c r="A410" s="0" t="s">
        <v>8</v>
      </c>
      <c r="B410" s="0" t="s">
        <v>9</v>
      </c>
      <c r="C410" s="0" t="str">
        <f aca="false">"128-139"</f>
        <v>128-139</v>
      </c>
      <c r="D410" s="0" t="s">
        <v>9</v>
      </c>
      <c r="E410" s="0" t="str">
        <f aca="false">"233-244"</f>
        <v>233-244</v>
      </c>
      <c r="F410" s="0" t="s">
        <v>429</v>
      </c>
      <c r="G410" s="0" t="s">
        <v>9</v>
      </c>
      <c r="H410" s="0" t="str">
        <f aca="false">"731-742"</f>
        <v>731-742</v>
      </c>
      <c r="I410" s="0" t="s">
        <v>9</v>
      </c>
      <c r="J410" s="0" t="str">
        <f aca="false">"750-761"</f>
        <v>750-761</v>
      </c>
      <c r="K410" s="0" t="str">
        <f aca="false">"0.62"</f>
        <v>0.62</v>
      </c>
      <c r="L410" s="0" t="str">
        <f aca="false">"10.15"</f>
        <v>10.15</v>
      </c>
      <c r="M410" s="0" t="str">
        <f aca="false">"-156.9"</f>
        <v>-156.9</v>
      </c>
    </row>
    <row r="411" customFormat="false" ht="12.8" hidden="false" customHeight="false" outlineLevel="0" collapsed="false">
      <c r="A411" s="0" t="s">
        <v>8</v>
      </c>
      <c r="B411" s="0" t="s">
        <v>9</v>
      </c>
      <c r="C411" s="0" t="str">
        <f aca="false">"134-145"</f>
        <v>134-145</v>
      </c>
      <c r="D411" s="0" t="s">
        <v>9</v>
      </c>
      <c r="E411" s="0" t="str">
        <f aca="false">"226-237"</f>
        <v>226-237</v>
      </c>
      <c r="F411" s="0" t="s">
        <v>430</v>
      </c>
      <c r="G411" s="0" t="s">
        <v>9</v>
      </c>
      <c r="H411" s="0" t="str">
        <f aca="false">"294-305"</f>
        <v>294-305</v>
      </c>
      <c r="I411" s="0" t="s">
        <v>13</v>
      </c>
      <c r="J411" s="0" t="str">
        <f aca="false">"298-309"</f>
        <v>298-309</v>
      </c>
      <c r="K411" s="0" t="str">
        <f aca="false">"1.04"</f>
        <v>1.04</v>
      </c>
      <c r="L411" s="0" t="str">
        <f aca="false">"9.55"</f>
        <v>9.55</v>
      </c>
      <c r="M411" s="0" t="str">
        <f aca="false">"-163.7"</f>
        <v>-163.7</v>
      </c>
    </row>
    <row r="412" customFormat="false" ht="12.8" hidden="false" customHeight="false" outlineLevel="0" collapsed="false">
      <c r="A412" s="0" t="s">
        <v>8</v>
      </c>
      <c r="B412" s="0" t="s">
        <v>9</v>
      </c>
      <c r="C412" s="0" t="str">
        <f aca="false">"134-145"</f>
        <v>134-145</v>
      </c>
      <c r="D412" s="0" t="s">
        <v>9</v>
      </c>
      <c r="E412" s="0" t="str">
        <f aca="false">"226-237"</f>
        <v>226-237</v>
      </c>
      <c r="F412" s="0" t="s">
        <v>431</v>
      </c>
      <c r="G412" s="0" t="s">
        <v>48</v>
      </c>
      <c r="H412" s="0" t="str">
        <f aca="false">"120-131"</f>
        <v>120-131</v>
      </c>
      <c r="I412" s="0" t="s">
        <v>48</v>
      </c>
      <c r="J412" s="0" t="str">
        <f aca="false">"105-116"</f>
        <v>105-116</v>
      </c>
      <c r="K412" s="0" t="str">
        <f aca="false">"0.90"</f>
        <v>0.90</v>
      </c>
      <c r="L412" s="0" t="str">
        <f aca="false">"10.37"</f>
        <v>10.37</v>
      </c>
      <c r="M412" s="0" t="str">
        <f aca="false">"-146.7"</f>
        <v>-146.7</v>
      </c>
    </row>
    <row r="413" customFormat="false" ht="12.8" hidden="false" customHeight="false" outlineLevel="0" collapsed="false">
      <c r="A413" s="0" t="s">
        <v>8</v>
      </c>
      <c r="B413" s="0" t="s">
        <v>9</v>
      </c>
      <c r="C413" s="0" t="str">
        <f aca="false">"134-145"</f>
        <v>134-145</v>
      </c>
      <c r="D413" s="0" t="s">
        <v>9</v>
      </c>
      <c r="E413" s="0" t="str">
        <f aca="false">"226-237"</f>
        <v>226-237</v>
      </c>
      <c r="F413" s="0" t="s">
        <v>432</v>
      </c>
      <c r="G413" s="0" t="s">
        <v>9</v>
      </c>
      <c r="H413" s="0" t="str">
        <f aca="false">"80-91"</f>
        <v>80-91</v>
      </c>
      <c r="I413" s="0" t="s">
        <v>9</v>
      </c>
      <c r="J413" s="0" t="str">
        <f aca="false">"241-252"</f>
        <v>241-252</v>
      </c>
      <c r="K413" s="0" t="str">
        <f aca="false">"0.73"</f>
        <v>0.73</v>
      </c>
      <c r="L413" s="0" t="str">
        <f aca="false">"10.00"</f>
        <v>10.00</v>
      </c>
      <c r="M413" s="0" t="str">
        <f aca="false">"-146.2"</f>
        <v>-146.2</v>
      </c>
    </row>
    <row r="414" customFormat="false" ht="12.8" hidden="false" customHeight="false" outlineLevel="0" collapsed="false">
      <c r="A414" s="0" t="s">
        <v>8</v>
      </c>
      <c r="B414" s="0" t="s">
        <v>9</v>
      </c>
      <c r="C414" s="0" t="str">
        <f aca="false">"134-145"</f>
        <v>134-145</v>
      </c>
      <c r="D414" s="0" t="s">
        <v>9</v>
      </c>
      <c r="E414" s="0" t="str">
        <f aca="false">"226-237"</f>
        <v>226-237</v>
      </c>
      <c r="F414" s="0" t="s">
        <v>433</v>
      </c>
      <c r="G414" s="0" t="s">
        <v>13</v>
      </c>
      <c r="H414" s="0" t="str">
        <f aca="false">"47-58"</f>
        <v>47-58</v>
      </c>
      <c r="I414" s="0" t="s">
        <v>13</v>
      </c>
      <c r="J414" s="0" t="str">
        <f aca="false">"30-41"</f>
        <v>30-41</v>
      </c>
      <c r="K414" s="0" t="str">
        <f aca="false">"1.06"</f>
        <v>1.06</v>
      </c>
      <c r="L414" s="0" t="str">
        <f aca="false">"9.61"</f>
        <v>9.61</v>
      </c>
      <c r="M414" s="0" t="str">
        <f aca="false">"-144.8"</f>
        <v>-144.8</v>
      </c>
    </row>
    <row r="415" customFormat="false" ht="12.8" hidden="false" customHeight="false" outlineLevel="0" collapsed="false">
      <c r="A415" s="0" t="s">
        <v>8</v>
      </c>
      <c r="B415" s="0" t="s">
        <v>9</v>
      </c>
      <c r="C415" s="0" t="str">
        <f aca="false">"134-145"</f>
        <v>134-145</v>
      </c>
      <c r="D415" s="0" t="s">
        <v>9</v>
      </c>
      <c r="E415" s="0" t="str">
        <f aca="false">"226-237"</f>
        <v>226-237</v>
      </c>
      <c r="F415" s="0" t="s">
        <v>434</v>
      </c>
      <c r="G415" s="0" t="s">
        <v>9</v>
      </c>
      <c r="H415" s="0" t="str">
        <f aca="false">"6-17"</f>
        <v>6-17</v>
      </c>
      <c r="I415" s="0" t="s">
        <v>9</v>
      </c>
      <c r="J415" s="0" t="str">
        <f aca="false">"79-90"</f>
        <v>79-90</v>
      </c>
      <c r="K415" s="0" t="str">
        <f aca="false">"0.70"</f>
        <v>0.70</v>
      </c>
      <c r="L415" s="0" t="str">
        <f aca="false">"9.93"</f>
        <v>9.93</v>
      </c>
      <c r="M415" s="0" t="str">
        <f aca="false">"-155.8"</f>
        <v>-155.8</v>
      </c>
    </row>
    <row r="416" customFormat="false" ht="12.8" hidden="false" customHeight="false" outlineLevel="0" collapsed="false">
      <c r="A416" s="0" t="s">
        <v>8</v>
      </c>
      <c r="B416" s="0" t="s">
        <v>9</v>
      </c>
      <c r="C416" s="0" t="str">
        <f aca="false">"134-145"</f>
        <v>134-145</v>
      </c>
      <c r="D416" s="0" t="s">
        <v>9</v>
      </c>
      <c r="E416" s="0" t="str">
        <f aca="false">"226-237"</f>
        <v>226-237</v>
      </c>
      <c r="F416" s="0" t="s">
        <v>435</v>
      </c>
      <c r="G416" s="0" t="s">
        <v>13</v>
      </c>
      <c r="H416" s="0" t="str">
        <f aca="false">"35-46"</f>
        <v>35-46</v>
      </c>
      <c r="I416" s="0" t="s">
        <v>13</v>
      </c>
      <c r="J416" s="0" t="str">
        <f aca="false">"15-26"</f>
        <v>15-26</v>
      </c>
      <c r="K416" s="0" t="str">
        <f aca="false">"0.85"</f>
        <v>0.85</v>
      </c>
      <c r="L416" s="0" t="str">
        <f aca="false">"9.92"</f>
        <v>9.92</v>
      </c>
      <c r="M416" s="0" t="str">
        <f aca="false">"-154.0"</f>
        <v>-154.0</v>
      </c>
    </row>
    <row r="417" customFormat="false" ht="12.8" hidden="false" customHeight="false" outlineLevel="0" collapsed="false">
      <c r="A417" s="0" t="s">
        <v>8</v>
      </c>
      <c r="B417" s="0" t="s">
        <v>9</v>
      </c>
      <c r="C417" s="0" t="str">
        <f aca="false">"134-145"</f>
        <v>134-145</v>
      </c>
      <c r="D417" s="0" t="s">
        <v>9</v>
      </c>
      <c r="E417" s="0" t="str">
        <f aca="false">"226-237"</f>
        <v>226-237</v>
      </c>
      <c r="F417" s="0" t="s">
        <v>436</v>
      </c>
      <c r="G417" s="0" t="s">
        <v>13</v>
      </c>
      <c r="H417" s="0" t="str">
        <f aca="false">"156-167"</f>
        <v>156-167</v>
      </c>
      <c r="I417" s="0" t="s">
        <v>13</v>
      </c>
      <c r="J417" s="0" t="str">
        <f aca="false">"85-96"</f>
        <v>85-96</v>
      </c>
      <c r="K417" s="0" t="str">
        <f aca="false">"0.77"</f>
        <v>0.77</v>
      </c>
      <c r="L417" s="0" t="str">
        <f aca="false">"9.77"</f>
        <v>9.77</v>
      </c>
      <c r="M417" s="0" t="str">
        <f aca="false">"-155.5"</f>
        <v>-155.5</v>
      </c>
    </row>
    <row r="418" customFormat="false" ht="12.8" hidden="false" customHeight="false" outlineLevel="0" collapsed="false">
      <c r="A418" s="0" t="s">
        <v>8</v>
      </c>
      <c r="B418" s="0" t="s">
        <v>9</v>
      </c>
      <c r="C418" s="0" t="str">
        <f aca="false">"134-145"</f>
        <v>134-145</v>
      </c>
      <c r="D418" s="0" t="s">
        <v>9</v>
      </c>
      <c r="E418" s="0" t="str">
        <f aca="false">"226-237"</f>
        <v>226-237</v>
      </c>
      <c r="F418" s="0" t="s">
        <v>437</v>
      </c>
      <c r="G418" s="0" t="s">
        <v>9</v>
      </c>
      <c r="H418" s="0" t="str">
        <f aca="false">"32-43"</f>
        <v>32-43</v>
      </c>
      <c r="I418" s="0" t="s">
        <v>9</v>
      </c>
      <c r="J418" s="0" t="str">
        <f aca="false">"137-148"</f>
        <v>137-148</v>
      </c>
      <c r="K418" s="0" t="str">
        <f aca="false">"0.75"</f>
        <v>0.75</v>
      </c>
      <c r="L418" s="0" t="str">
        <f aca="false">"10.17"</f>
        <v>10.17</v>
      </c>
      <c r="M418" s="0" t="str">
        <f aca="false">"-140.0"</f>
        <v>-140.0</v>
      </c>
    </row>
    <row r="419" customFormat="false" ht="12.8" hidden="false" customHeight="false" outlineLevel="0" collapsed="false">
      <c r="A419" s="0" t="s">
        <v>8</v>
      </c>
      <c r="B419" s="0" t="s">
        <v>9</v>
      </c>
      <c r="C419" s="0" t="str">
        <f aca="false">"134-145"</f>
        <v>134-145</v>
      </c>
      <c r="D419" s="0" t="s">
        <v>9</v>
      </c>
      <c r="E419" s="0" t="str">
        <f aca="false">"229-240"</f>
        <v>229-240</v>
      </c>
      <c r="F419" s="0" t="s">
        <v>438</v>
      </c>
      <c r="G419" s="0" t="s">
        <v>9</v>
      </c>
      <c r="H419" s="0" t="str">
        <f aca="false">"299-310"</f>
        <v>299-310</v>
      </c>
      <c r="I419" s="0" t="s">
        <v>9</v>
      </c>
      <c r="J419" s="0" t="str">
        <f aca="false">"66-77"</f>
        <v>66-77</v>
      </c>
      <c r="K419" s="0" t="str">
        <f aca="false">"0.80"</f>
        <v>0.80</v>
      </c>
      <c r="L419" s="0" t="str">
        <f aca="false">"9.32"</f>
        <v>9.32</v>
      </c>
      <c r="M419" s="0" t="str">
        <f aca="false">"-150.3"</f>
        <v>-150.3</v>
      </c>
    </row>
    <row r="420" customFormat="false" ht="12.8" hidden="false" customHeight="false" outlineLevel="0" collapsed="false">
      <c r="A420" s="0" t="s">
        <v>8</v>
      </c>
      <c r="B420" s="0" t="s">
        <v>9</v>
      </c>
      <c r="C420" s="0" t="str">
        <f aca="false">"134-145"</f>
        <v>134-145</v>
      </c>
      <c r="D420" s="0" t="s">
        <v>9</v>
      </c>
      <c r="E420" s="0" t="str">
        <f aca="false">"229-240"</f>
        <v>229-240</v>
      </c>
      <c r="F420" s="0" t="s">
        <v>439</v>
      </c>
      <c r="G420" s="0" t="s">
        <v>9</v>
      </c>
      <c r="H420" s="0" t="str">
        <f aca="false">"215-226"</f>
        <v>215-226</v>
      </c>
      <c r="I420" s="0" t="s">
        <v>9</v>
      </c>
      <c r="J420" s="0" t="str">
        <f aca="false">"239-250"</f>
        <v>239-250</v>
      </c>
      <c r="K420" s="0" t="str">
        <f aca="false">"0.77"</f>
        <v>0.77</v>
      </c>
      <c r="L420" s="0" t="str">
        <f aca="false">"10.14"</f>
        <v>10.14</v>
      </c>
      <c r="M420" s="0" t="str">
        <f aca="false">"-144.6"</f>
        <v>-144.6</v>
      </c>
    </row>
    <row r="421" customFormat="false" ht="12.8" hidden="false" customHeight="false" outlineLevel="0" collapsed="false">
      <c r="A421" s="0" t="s">
        <v>8</v>
      </c>
      <c r="B421" s="0" t="s">
        <v>9</v>
      </c>
      <c r="C421" s="0" t="str">
        <f aca="false">"134-145"</f>
        <v>134-145</v>
      </c>
      <c r="D421" s="0" t="s">
        <v>9</v>
      </c>
      <c r="E421" s="0" t="str">
        <f aca="false">"225-236"</f>
        <v>225-236</v>
      </c>
      <c r="F421" s="0" t="s">
        <v>440</v>
      </c>
      <c r="G421" s="0" t="s">
        <v>9</v>
      </c>
      <c r="H421" s="0" t="str">
        <f aca="false">"22-33"</f>
        <v>22-33</v>
      </c>
      <c r="I421" s="0" t="s">
        <v>9</v>
      </c>
      <c r="J421" s="0" t="str">
        <f aca="false">"151-162"</f>
        <v>151-162</v>
      </c>
      <c r="K421" s="0" t="str">
        <f aca="false">"1.19"</f>
        <v>1.19</v>
      </c>
      <c r="L421" s="0" t="str">
        <f aca="false">"9.95"</f>
        <v>9.95</v>
      </c>
      <c r="M421" s="0" t="str">
        <f aca="false">"-155.4"</f>
        <v>-155.4</v>
      </c>
    </row>
    <row r="422" customFormat="false" ht="12.8" hidden="false" customHeight="false" outlineLevel="0" collapsed="false">
      <c r="A422" s="0" t="s">
        <v>8</v>
      </c>
      <c r="B422" s="0" t="s">
        <v>9</v>
      </c>
      <c r="C422" s="0" t="str">
        <f aca="false">"134-145"</f>
        <v>134-145</v>
      </c>
      <c r="D422" s="0" t="s">
        <v>9</v>
      </c>
      <c r="E422" s="0" t="str">
        <f aca="false">"229-240"</f>
        <v>229-240</v>
      </c>
      <c r="F422" s="0" t="s">
        <v>441</v>
      </c>
      <c r="G422" s="0" t="s">
        <v>9</v>
      </c>
      <c r="H422" s="0" t="str">
        <f aca="false">"7-18"</f>
        <v>7-18</v>
      </c>
      <c r="I422" s="0" t="s">
        <v>9</v>
      </c>
      <c r="J422" s="0" t="str">
        <f aca="false">"113-124"</f>
        <v>113-124</v>
      </c>
      <c r="K422" s="0" t="str">
        <f aca="false">"0.61"</f>
        <v>0.61</v>
      </c>
      <c r="L422" s="0" t="str">
        <f aca="false">"9.58"</f>
        <v>9.58</v>
      </c>
      <c r="M422" s="0" t="str">
        <f aca="false">"-148.0"</f>
        <v>-148.0</v>
      </c>
    </row>
    <row r="423" customFormat="false" ht="12.8" hidden="false" customHeight="false" outlineLevel="0" collapsed="false">
      <c r="A423" s="0" t="s">
        <v>8</v>
      </c>
      <c r="B423" s="0" t="s">
        <v>9</v>
      </c>
      <c r="C423" s="0" t="str">
        <f aca="false">"131-142"</f>
        <v>131-142</v>
      </c>
      <c r="D423" s="0" t="s">
        <v>9</v>
      </c>
      <c r="E423" s="0" t="str">
        <f aca="false">"229-240"</f>
        <v>229-240</v>
      </c>
      <c r="F423" s="0" t="s">
        <v>442</v>
      </c>
      <c r="G423" s="0" t="s">
        <v>9</v>
      </c>
      <c r="H423" s="0" t="str">
        <f aca="false">"35-46"</f>
        <v>35-46</v>
      </c>
      <c r="I423" s="0" t="s">
        <v>9</v>
      </c>
      <c r="J423" s="0" t="str">
        <f aca="false">"53-64"</f>
        <v>53-64</v>
      </c>
      <c r="K423" s="0" t="str">
        <f aca="false">"0.96"</f>
        <v>0.96</v>
      </c>
      <c r="L423" s="0" t="str">
        <f aca="false">"9.18"</f>
        <v>9.18</v>
      </c>
      <c r="M423" s="0" t="str">
        <f aca="false">"-147.5"</f>
        <v>-147.5</v>
      </c>
    </row>
    <row r="424" customFormat="false" ht="12.8" hidden="false" customHeight="false" outlineLevel="0" collapsed="false">
      <c r="A424" s="0" t="s">
        <v>8</v>
      </c>
      <c r="B424" s="0" t="s">
        <v>9</v>
      </c>
      <c r="C424" s="0" t="str">
        <f aca="false">"135-146"</f>
        <v>135-146</v>
      </c>
      <c r="D424" s="0" t="s">
        <v>9</v>
      </c>
      <c r="E424" s="0" t="str">
        <f aca="false">"226-237"</f>
        <v>226-237</v>
      </c>
      <c r="F424" s="0" t="s">
        <v>443</v>
      </c>
      <c r="G424" s="0" t="s">
        <v>9</v>
      </c>
      <c r="H424" s="0" t="str">
        <f aca="false">"639-650"</f>
        <v>639-650</v>
      </c>
      <c r="I424" s="0" t="s">
        <v>9</v>
      </c>
      <c r="J424" s="0" t="str">
        <f aca="false">"589-600"</f>
        <v>589-600</v>
      </c>
      <c r="K424" s="0" t="str">
        <f aca="false">"1.06"</f>
        <v>1.06</v>
      </c>
      <c r="L424" s="0" t="str">
        <f aca="false">"9.29"</f>
        <v>9.29</v>
      </c>
      <c r="M424" s="0" t="str">
        <f aca="false">"-144.2"</f>
        <v>-144.2</v>
      </c>
    </row>
    <row r="425" customFormat="false" ht="12.8" hidden="false" customHeight="false" outlineLevel="0" collapsed="false">
      <c r="A425" s="0" t="s">
        <v>8</v>
      </c>
      <c r="B425" s="0" t="s">
        <v>9</v>
      </c>
      <c r="C425" s="0" t="str">
        <f aca="false">"134-145"</f>
        <v>134-145</v>
      </c>
      <c r="D425" s="0" t="s">
        <v>9</v>
      </c>
      <c r="E425" s="0" t="str">
        <f aca="false">"226-237"</f>
        <v>226-237</v>
      </c>
      <c r="F425" s="0" t="s">
        <v>444</v>
      </c>
      <c r="G425" s="0" t="s">
        <v>9</v>
      </c>
      <c r="H425" s="0" t="str">
        <f aca="false">"87-98"</f>
        <v>87-98</v>
      </c>
      <c r="I425" s="0" t="s">
        <v>9</v>
      </c>
      <c r="J425" s="0" t="str">
        <f aca="false">"8-19"</f>
        <v>8-19</v>
      </c>
      <c r="K425" s="0" t="str">
        <f aca="false">"0.61"</f>
        <v>0.61</v>
      </c>
      <c r="L425" s="0" t="str">
        <f aca="false">"10.41"</f>
        <v>10.41</v>
      </c>
      <c r="M425" s="0" t="str">
        <f aca="false">"-153.1"</f>
        <v>-153.1</v>
      </c>
    </row>
    <row r="426" customFormat="false" ht="12.8" hidden="false" customHeight="false" outlineLevel="0" collapsed="false">
      <c r="A426" s="0" t="s">
        <v>8</v>
      </c>
      <c r="B426" s="0" t="s">
        <v>9</v>
      </c>
      <c r="C426" s="0" t="str">
        <f aca="false">"134-145"</f>
        <v>134-145</v>
      </c>
      <c r="D426" s="0" t="s">
        <v>9</v>
      </c>
      <c r="E426" s="0" t="str">
        <f aca="false">"226-237"</f>
        <v>226-237</v>
      </c>
      <c r="F426" s="0" t="s">
        <v>445</v>
      </c>
      <c r="G426" s="0" t="s">
        <v>9</v>
      </c>
      <c r="H426" s="0" t="str">
        <f aca="false">"312-323"</f>
        <v>312-323</v>
      </c>
      <c r="I426" s="0" t="s">
        <v>9</v>
      </c>
      <c r="J426" s="0" t="str">
        <f aca="false">"330-341"</f>
        <v>330-341</v>
      </c>
      <c r="K426" s="0" t="str">
        <f aca="false">"0.53"</f>
        <v>0.53</v>
      </c>
      <c r="L426" s="0" t="str">
        <f aca="false">"9.93"</f>
        <v>9.93</v>
      </c>
      <c r="M426" s="0" t="str">
        <f aca="false">"-148.5"</f>
        <v>-148.5</v>
      </c>
    </row>
    <row r="427" customFormat="false" ht="12.8" hidden="false" customHeight="false" outlineLevel="0" collapsed="false">
      <c r="A427" s="0" t="s">
        <v>8</v>
      </c>
      <c r="B427" s="0" t="s">
        <v>9</v>
      </c>
      <c r="C427" s="0" t="str">
        <f aca="false">"131-142"</f>
        <v>131-142</v>
      </c>
      <c r="D427" s="0" t="s">
        <v>9</v>
      </c>
      <c r="E427" s="0" t="str">
        <f aca="false">"229-240"</f>
        <v>229-240</v>
      </c>
      <c r="F427" s="0" t="s">
        <v>446</v>
      </c>
      <c r="G427" s="0" t="s">
        <v>55</v>
      </c>
      <c r="H427" s="0" t="str">
        <f aca="false">"82-93"</f>
        <v>82-93</v>
      </c>
      <c r="I427" s="0" t="s">
        <v>55</v>
      </c>
      <c r="J427" s="0" t="str">
        <f aca="false">"110-121"</f>
        <v>110-121</v>
      </c>
      <c r="K427" s="0" t="str">
        <f aca="false">"0.96"</f>
        <v>0.96</v>
      </c>
      <c r="L427" s="0" t="str">
        <f aca="false">"10.47"</f>
        <v>10.47</v>
      </c>
      <c r="M427" s="0" t="str">
        <f aca="false">"-159.9"</f>
        <v>-159.9</v>
      </c>
    </row>
    <row r="428" customFormat="false" ht="12.8" hidden="false" customHeight="false" outlineLevel="0" collapsed="false">
      <c r="A428" s="0" t="s">
        <v>8</v>
      </c>
      <c r="B428" s="0" t="s">
        <v>9</v>
      </c>
      <c r="C428" s="0" t="str">
        <f aca="false">"134-145"</f>
        <v>134-145</v>
      </c>
      <c r="D428" s="0" t="s">
        <v>9</v>
      </c>
      <c r="E428" s="0" t="str">
        <f aca="false">"226-237"</f>
        <v>226-237</v>
      </c>
      <c r="F428" s="0" t="s">
        <v>447</v>
      </c>
      <c r="G428" s="0" t="s">
        <v>9</v>
      </c>
      <c r="H428" s="0" t="str">
        <f aca="false">"843-854"</f>
        <v>843-854</v>
      </c>
      <c r="I428" s="0" t="s">
        <v>9</v>
      </c>
      <c r="J428" s="0" t="str">
        <f aca="false">"814-825"</f>
        <v>814-825</v>
      </c>
      <c r="K428" s="0" t="str">
        <f aca="false">"0.98"</f>
        <v>0.98</v>
      </c>
      <c r="L428" s="0" t="str">
        <f aca="false">"9.38"</f>
        <v>9.38</v>
      </c>
      <c r="M428" s="0" t="str">
        <f aca="false">"-147.8"</f>
        <v>-147.8</v>
      </c>
    </row>
    <row r="429" customFormat="false" ht="12.8" hidden="false" customHeight="false" outlineLevel="0" collapsed="false">
      <c r="A429" s="0" t="s">
        <v>8</v>
      </c>
      <c r="B429" s="0" t="s">
        <v>9</v>
      </c>
      <c r="C429" s="0" t="str">
        <f aca="false">"134-145"</f>
        <v>134-145</v>
      </c>
      <c r="D429" s="0" t="s">
        <v>9</v>
      </c>
      <c r="E429" s="0" t="str">
        <f aca="false">"226-237"</f>
        <v>226-237</v>
      </c>
      <c r="F429" s="0" t="s">
        <v>448</v>
      </c>
      <c r="G429" s="0" t="s">
        <v>9</v>
      </c>
      <c r="H429" s="0" t="str">
        <f aca="false">"393-404"</f>
        <v>393-404</v>
      </c>
      <c r="I429" s="0" t="s">
        <v>9</v>
      </c>
      <c r="J429" s="0" t="str">
        <f aca="false">"378-389"</f>
        <v>378-389</v>
      </c>
      <c r="K429" s="0" t="str">
        <f aca="false">"0.50"</f>
        <v>0.50</v>
      </c>
      <c r="L429" s="0" t="str">
        <f aca="false">"9.88"</f>
        <v>9.88</v>
      </c>
      <c r="M429" s="0" t="str">
        <f aca="false">"-146.7"</f>
        <v>-146.7</v>
      </c>
    </row>
    <row r="430" customFormat="false" ht="12.8" hidden="false" customHeight="false" outlineLevel="0" collapsed="false">
      <c r="A430" s="0" t="s">
        <v>8</v>
      </c>
      <c r="B430" s="0" t="s">
        <v>9</v>
      </c>
      <c r="C430" s="0" t="str">
        <f aca="false">"134-145"</f>
        <v>134-145</v>
      </c>
      <c r="D430" s="0" t="s">
        <v>9</v>
      </c>
      <c r="E430" s="0" t="str">
        <f aca="false">"229-240"</f>
        <v>229-240</v>
      </c>
      <c r="F430" s="0" t="s">
        <v>449</v>
      </c>
      <c r="G430" s="0" t="s">
        <v>9</v>
      </c>
      <c r="H430" s="0" t="str">
        <f aca="false">"126-137"</f>
        <v>126-137</v>
      </c>
      <c r="I430" s="0" t="s">
        <v>9</v>
      </c>
      <c r="J430" s="0" t="str">
        <f aca="false">"165-176"</f>
        <v>165-176</v>
      </c>
      <c r="K430" s="0" t="str">
        <f aca="false">"0.53"</f>
        <v>0.53</v>
      </c>
      <c r="L430" s="0" t="str">
        <f aca="false">"9.52"</f>
        <v>9.52</v>
      </c>
      <c r="M430" s="0" t="str">
        <f aca="false">"-158.2"</f>
        <v>-158.2</v>
      </c>
    </row>
    <row r="431" customFormat="false" ht="12.8" hidden="false" customHeight="false" outlineLevel="0" collapsed="false">
      <c r="A431" s="0" t="s">
        <v>8</v>
      </c>
      <c r="B431" s="0" t="s">
        <v>9</v>
      </c>
      <c r="C431" s="0" t="str">
        <f aca="false">"134-145"</f>
        <v>134-145</v>
      </c>
      <c r="D431" s="0" t="s">
        <v>9</v>
      </c>
      <c r="E431" s="0" t="str">
        <f aca="false">"229-240"</f>
        <v>229-240</v>
      </c>
      <c r="F431" s="0" t="s">
        <v>450</v>
      </c>
      <c r="G431" s="0" t="s">
        <v>13</v>
      </c>
      <c r="H431" s="0" t="str">
        <f aca="false">"554-565"</f>
        <v>554-565</v>
      </c>
      <c r="I431" s="0" t="s">
        <v>13</v>
      </c>
      <c r="J431" s="0" t="str">
        <f aca="false">"585-596"</f>
        <v>585-596</v>
      </c>
      <c r="K431" s="0" t="str">
        <f aca="false">"0.90"</f>
        <v>0.90</v>
      </c>
      <c r="L431" s="0" t="str">
        <f aca="false">"9.39"</f>
        <v>9.39</v>
      </c>
      <c r="M431" s="0" t="str">
        <f aca="false">"-137.0"</f>
        <v>-137.0</v>
      </c>
    </row>
    <row r="432" customFormat="false" ht="12.8" hidden="false" customHeight="false" outlineLevel="0" collapsed="false">
      <c r="A432" s="0" t="s">
        <v>8</v>
      </c>
      <c r="B432" s="0" t="s">
        <v>9</v>
      </c>
      <c r="C432" s="0" t="str">
        <f aca="false">"134-145"</f>
        <v>134-145</v>
      </c>
      <c r="D432" s="0" t="s">
        <v>9</v>
      </c>
      <c r="E432" s="0" t="str">
        <f aca="false">"229-240"</f>
        <v>229-240</v>
      </c>
      <c r="F432" s="0" t="s">
        <v>451</v>
      </c>
      <c r="G432" s="0" t="s">
        <v>9</v>
      </c>
      <c r="H432" s="0" t="str">
        <f aca="false">"193-204"</f>
        <v>193-204</v>
      </c>
      <c r="I432" s="0" t="s">
        <v>9</v>
      </c>
      <c r="J432" s="0" t="str">
        <f aca="false">"223-234"</f>
        <v>223-234</v>
      </c>
      <c r="K432" s="0" t="str">
        <f aca="false">"1.07"</f>
        <v>1.07</v>
      </c>
      <c r="L432" s="0" t="str">
        <f aca="false">"10.63"</f>
        <v>10.63</v>
      </c>
      <c r="M432" s="0" t="str">
        <f aca="false">"-156.1"</f>
        <v>-156.1</v>
      </c>
    </row>
    <row r="433" customFormat="false" ht="12.8" hidden="false" customHeight="false" outlineLevel="0" collapsed="false">
      <c r="A433" s="0" t="s">
        <v>8</v>
      </c>
      <c r="B433" s="0" t="s">
        <v>9</v>
      </c>
      <c r="C433" s="0" t="str">
        <f aca="false">"134-145"</f>
        <v>134-145</v>
      </c>
      <c r="D433" s="0" t="s">
        <v>9</v>
      </c>
      <c r="E433" s="0" t="str">
        <f aca="false">"229-240"</f>
        <v>229-240</v>
      </c>
      <c r="F433" s="0" t="s">
        <v>452</v>
      </c>
      <c r="G433" s="0" t="s">
        <v>9</v>
      </c>
      <c r="H433" s="0" t="str">
        <f aca="false">"253-264"</f>
        <v>253-264</v>
      </c>
      <c r="I433" s="0" t="s">
        <v>9</v>
      </c>
      <c r="J433" s="0" t="str">
        <f aca="false">"328-339"</f>
        <v>328-339</v>
      </c>
      <c r="K433" s="0" t="str">
        <f aca="false">"1.02"</f>
        <v>1.02</v>
      </c>
      <c r="L433" s="0" t="str">
        <f aca="false">"8.83"</f>
        <v>8.83</v>
      </c>
      <c r="M433" s="0" t="str">
        <f aca="false">"-142.3"</f>
        <v>-142.3</v>
      </c>
    </row>
    <row r="434" customFormat="false" ht="12.8" hidden="false" customHeight="false" outlineLevel="0" collapsed="false">
      <c r="A434" s="0" t="s">
        <v>8</v>
      </c>
      <c r="B434" s="0" t="s">
        <v>9</v>
      </c>
      <c r="C434" s="0" t="str">
        <f aca="false">"134-145"</f>
        <v>134-145</v>
      </c>
      <c r="D434" s="0" t="s">
        <v>9</v>
      </c>
      <c r="E434" s="0" t="str">
        <f aca="false">"226-237"</f>
        <v>226-237</v>
      </c>
      <c r="F434" s="0" t="s">
        <v>453</v>
      </c>
      <c r="G434" s="0" t="s">
        <v>13</v>
      </c>
      <c r="H434" s="0" t="str">
        <f aca="false">"268-279"</f>
        <v>268-279</v>
      </c>
      <c r="I434" s="0" t="s">
        <v>13</v>
      </c>
      <c r="J434" s="0" t="str">
        <f aca="false">"204-215"</f>
        <v>204-215</v>
      </c>
      <c r="K434" s="0" t="str">
        <f aca="false">"0.76"</f>
        <v>0.76</v>
      </c>
      <c r="L434" s="0" t="str">
        <f aca="false">"9.46"</f>
        <v>9.46</v>
      </c>
      <c r="M434" s="0" t="str">
        <f aca="false">"-151.8"</f>
        <v>-151.8</v>
      </c>
    </row>
    <row r="435" customFormat="false" ht="12.8" hidden="false" customHeight="false" outlineLevel="0" collapsed="false">
      <c r="A435" s="0" t="s">
        <v>8</v>
      </c>
      <c r="B435" s="0" t="s">
        <v>9</v>
      </c>
      <c r="C435" s="0" t="str">
        <f aca="false">"137-148"</f>
        <v>137-148</v>
      </c>
      <c r="D435" s="0" t="s">
        <v>9</v>
      </c>
      <c r="E435" s="0" t="str">
        <f aca="false">"225-236"</f>
        <v>225-236</v>
      </c>
      <c r="F435" s="0" t="s">
        <v>454</v>
      </c>
      <c r="G435" s="0" t="s">
        <v>9</v>
      </c>
      <c r="H435" s="0" t="str">
        <f aca="false">"116-127"</f>
        <v>116-127</v>
      </c>
      <c r="I435" s="0" t="s">
        <v>9</v>
      </c>
      <c r="J435" s="0" t="str">
        <f aca="false">"169-180"</f>
        <v>169-180</v>
      </c>
      <c r="K435" s="0" t="str">
        <f aca="false">"1.08"</f>
        <v>1.08</v>
      </c>
      <c r="L435" s="0" t="str">
        <f aca="false">"9.87"</f>
        <v>9.87</v>
      </c>
      <c r="M435" s="0" t="str">
        <f aca="false">"-135.8"</f>
        <v>-135.8</v>
      </c>
    </row>
    <row r="436" customFormat="false" ht="12.8" hidden="false" customHeight="false" outlineLevel="0" collapsed="false">
      <c r="A436" s="0" t="s">
        <v>8</v>
      </c>
      <c r="B436" s="0" t="s">
        <v>9</v>
      </c>
      <c r="C436" s="0" t="str">
        <f aca="false">"135-146"</f>
        <v>135-146</v>
      </c>
      <c r="D436" s="0" t="s">
        <v>9</v>
      </c>
      <c r="E436" s="0" t="str">
        <f aca="false">"226-237"</f>
        <v>226-237</v>
      </c>
      <c r="F436" s="0" t="s">
        <v>455</v>
      </c>
      <c r="G436" s="0" t="s">
        <v>9</v>
      </c>
      <c r="H436" s="0" t="str">
        <f aca="false">"58-69"</f>
        <v>58-69</v>
      </c>
      <c r="I436" s="0" t="s">
        <v>9</v>
      </c>
      <c r="J436" s="0" t="str">
        <f aca="false">"90-101"</f>
        <v>90-101</v>
      </c>
      <c r="K436" s="0" t="str">
        <f aca="false">"0.98"</f>
        <v>0.98</v>
      </c>
      <c r="L436" s="0" t="str">
        <f aca="false">"10.11"</f>
        <v>10.11</v>
      </c>
      <c r="M436" s="0" t="str">
        <f aca="false">"-143.1"</f>
        <v>-143.1</v>
      </c>
    </row>
    <row r="437" customFormat="false" ht="12.8" hidden="false" customHeight="false" outlineLevel="0" collapsed="false">
      <c r="A437" s="0" t="s">
        <v>8</v>
      </c>
      <c r="B437" s="0" t="s">
        <v>9</v>
      </c>
      <c r="C437" s="0" t="str">
        <f aca="false">"131-142"</f>
        <v>131-142</v>
      </c>
      <c r="D437" s="0" t="s">
        <v>9</v>
      </c>
      <c r="E437" s="0" t="str">
        <f aca="false">"231-242"</f>
        <v>231-242</v>
      </c>
      <c r="F437" s="0" t="s">
        <v>456</v>
      </c>
      <c r="G437" s="0" t="s">
        <v>9</v>
      </c>
      <c r="H437" s="0" t="str">
        <f aca="false">"319-330"</f>
        <v>319-330</v>
      </c>
      <c r="I437" s="0" t="s">
        <v>9</v>
      </c>
      <c r="J437" s="0" t="str">
        <f aca="false">"338-349"</f>
        <v>338-349</v>
      </c>
      <c r="K437" s="0" t="str">
        <f aca="false">"1.03"</f>
        <v>1.03</v>
      </c>
      <c r="L437" s="0" t="str">
        <f aca="false">"9.67"</f>
        <v>9.67</v>
      </c>
      <c r="M437" s="0" t="str">
        <f aca="false">"-144.0"</f>
        <v>-144.0</v>
      </c>
    </row>
    <row r="438" customFormat="false" ht="12.8" hidden="false" customHeight="false" outlineLevel="0" collapsed="false">
      <c r="A438" s="0" t="s">
        <v>8</v>
      </c>
      <c r="B438" s="0" t="s">
        <v>9</v>
      </c>
      <c r="C438" s="0" t="str">
        <f aca="false">"131-142"</f>
        <v>131-142</v>
      </c>
      <c r="D438" s="0" t="s">
        <v>9</v>
      </c>
      <c r="E438" s="0" t="str">
        <f aca="false">"229-240"</f>
        <v>229-240</v>
      </c>
      <c r="F438" s="0" t="s">
        <v>457</v>
      </c>
      <c r="G438" s="0" t="s">
        <v>9</v>
      </c>
      <c r="H438" s="0" t="str">
        <f aca="false">"94-105"</f>
        <v>94-105</v>
      </c>
      <c r="I438" s="0" t="s">
        <v>9</v>
      </c>
      <c r="J438" s="0" t="str">
        <f aca="false">"134-145"</f>
        <v>134-145</v>
      </c>
      <c r="K438" s="0" t="str">
        <f aca="false">"0.57"</f>
        <v>0.57</v>
      </c>
      <c r="L438" s="0" t="str">
        <f aca="false">"10.30"</f>
        <v>10.30</v>
      </c>
      <c r="M438" s="0" t="str">
        <f aca="false">"-159.7"</f>
        <v>-159.7</v>
      </c>
    </row>
    <row r="439" customFormat="false" ht="12.8" hidden="false" customHeight="false" outlineLevel="0" collapsed="false">
      <c r="A439" s="0" t="s">
        <v>8</v>
      </c>
      <c r="B439" s="0" t="s">
        <v>9</v>
      </c>
      <c r="C439" s="0" t="str">
        <f aca="false">"134-145"</f>
        <v>134-145</v>
      </c>
      <c r="D439" s="0" t="s">
        <v>9</v>
      </c>
      <c r="E439" s="0" t="str">
        <f aca="false">"226-237"</f>
        <v>226-237</v>
      </c>
      <c r="F439" s="0" t="s">
        <v>458</v>
      </c>
      <c r="G439" s="0" t="s">
        <v>9</v>
      </c>
      <c r="H439" s="0" t="str">
        <f aca="false">"241-252"</f>
        <v>241-252</v>
      </c>
      <c r="I439" s="0" t="s">
        <v>9</v>
      </c>
      <c r="J439" s="0" t="str">
        <f aca="false">"168-179"</f>
        <v>168-179</v>
      </c>
      <c r="K439" s="0" t="str">
        <f aca="false">"1.08"</f>
        <v>1.08</v>
      </c>
      <c r="L439" s="0" t="str">
        <f aca="false">"9.96"</f>
        <v>9.96</v>
      </c>
      <c r="M439" s="0" t="str">
        <f aca="false">"-147.6"</f>
        <v>-147.6</v>
      </c>
    </row>
    <row r="440" customFormat="false" ht="12.8" hidden="false" customHeight="false" outlineLevel="0" collapsed="false">
      <c r="A440" s="0" t="s">
        <v>8</v>
      </c>
      <c r="B440" s="0" t="s">
        <v>9</v>
      </c>
      <c r="C440" s="0" t="str">
        <f aca="false">"134-145"</f>
        <v>134-145</v>
      </c>
      <c r="D440" s="0" t="s">
        <v>9</v>
      </c>
      <c r="E440" s="0" t="str">
        <f aca="false">"229-240"</f>
        <v>229-240</v>
      </c>
      <c r="F440" s="0" t="s">
        <v>459</v>
      </c>
      <c r="G440" s="0" t="s">
        <v>9</v>
      </c>
      <c r="H440" s="0" t="str">
        <f aca="false">"294-305"</f>
        <v>294-305</v>
      </c>
      <c r="I440" s="0" t="s">
        <v>9</v>
      </c>
      <c r="J440" s="0" t="str">
        <f aca="false">"340-351"</f>
        <v>340-351</v>
      </c>
      <c r="K440" s="0" t="str">
        <f aca="false">"1.22"</f>
        <v>1.22</v>
      </c>
      <c r="L440" s="0" t="str">
        <f aca="false">"10.66"</f>
        <v>10.66</v>
      </c>
      <c r="M440" s="0" t="str">
        <f aca="false">"-149.8"</f>
        <v>-149.8</v>
      </c>
    </row>
    <row r="441" customFormat="false" ht="12.8" hidden="false" customHeight="false" outlineLevel="0" collapsed="false">
      <c r="A441" s="0" t="s">
        <v>8</v>
      </c>
      <c r="B441" s="0" t="s">
        <v>9</v>
      </c>
      <c r="C441" s="0" t="str">
        <f aca="false">"131-142"</f>
        <v>131-142</v>
      </c>
      <c r="D441" s="0" t="s">
        <v>9</v>
      </c>
      <c r="E441" s="0" t="str">
        <f aca="false">"230-241"</f>
        <v>230-241</v>
      </c>
      <c r="F441" s="0" t="s">
        <v>460</v>
      </c>
      <c r="G441" s="0" t="s">
        <v>9</v>
      </c>
      <c r="H441" s="0" t="str">
        <f aca="false">"4-15"</f>
        <v>4-15</v>
      </c>
      <c r="I441" s="0" t="s">
        <v>9</v>
      </c>
      <c r="J441" s="0" t="str">
        <f aca="false">"82-93"</f>
        <v>82-93</v>
      </c>
      <c r="K441" s="0" t="str">
        <f aca="false">"0.96"</f>
        <v>0.96</v>
      </c>
      <c r="L441" s="0" t="str">
        <f aca="false">"10.40"</f>
        <v>10.40</v>
      </c>
      <c r="M441" s="0" t="str">
        <f aca="false">"-146.1"</f>
        <v>-146.1</v>
      </c>
    </row>
    <row r="442" customFormat="false" ht="12.8" hidden="false" customHeight="false" outlineLevel="0" collapsed="false">
      <c r="A442" s="0" t="s">
        <v>8</v>
      </c>
      <c r="B442" s="0" t="s">
        <v>9</v>
      </c>
      <c r="C442" s="0" t="str">
        <f aca="false">"134-145"</f>
        <v>134-145</v>
      </c>
      <c r="D442" s="0" t="s">
        <v>9</v>
      </c>
      <c r="E442" s="0" t="str">
        <f aca="false">"229-240"</f>
        <v>229-240</v>
      </c>
      <c r="F442" s="0" t="s">
        <v>461</v>
      </c>
      <c r="G442" s="0" t="s">
        <v>13</v>
      </c>
      <c r="H442" s="0" t="str">
        <f aca="false">"96-107"</f>
        <v>96-107</v>
      </c>
      <c r="I442" s="0" t="s">
        <v>24</v>
      </c>
      <c r="J442" s="0" t="str">
        <f aca="false">"96-107"</f>
        <v>96-107</v>
      </c>
      <c r="K442" s="0" t="str">
        <f aca="false">"0.97"</f>
        <v>0.97</v>
      </c>
      <c r="L442" s="0" t="str">
        <f aca="false">"9.96"</f>
        <v>9.96</v>
      </c>
      <c r="M442" s="0" t="str">
        <f aca="false">"-139.6"</f>
        <v>-139.6</v>
      </c>
    </row>
    <row r="443" customFormat="false" ht="12.8" hidden="false" customHeight="false" outlineLevel="0" collapsed="false">
      <c r="A443" s="0" t="s">
        <v>8</v>
      </c>
      <c r="B443" s="0" t="s">
        <v>9</v>
      </c>
      <c r="C443" s="0" t="str">
        <f aca="false">"134-145"</f>
        <v>134-145</v>
      </c>
      <c r="D443" s="0" t="s">
        <v>9</v>
      </c>
      <c r="E443" s="0" t="str">
        <f aca="false">"227-238"</f>
        <v>227-238</v>
      </c>
      <c r="F443" s="0" t="s">
        <v>462</v>
      </c>
      <c r="G443" s="0" t="s">
        <v>9</v>
      </c>
      <c r="H443" s="0" t="str">
        <f aca="false">"137-148"</f>
        <v>137-148</v>
      </c>
      <c r="I443" s="0" t="s">
        <v>9</v>
      </c>
      <c r="J443" s="0" t="str">
        <f aca="false">"157-168"</f>
        <v>157-168</v>
      </c>
      <c r="K443" s="0" t="str">
        <f aca="false">"0.83"</f>
        <v>0.83</v>
      </c>
      <c r="L443" s="0" t="str">
        <f aca="false">"10.17"</f>
        <v>10.17</v>
      </c>
      <c r="M443" s="0" t="str">
        <f aca="false">"-153.9"</f>
        <v>-153.9</v>
      </c>
    </row>
    <row r="444" customFormat="false" ht="12.8" hidden="false" customHeight="false" outlineLevel="0" collapsed="false">
      <c r="A444" s="0" t="s">
        <v>8</v>
      </c>
      <c r="B444" s="0" t="s">
        <v>9</v>
      </c>
      <c r="C444" s="0" t="str">
        <f aca="false">"134-145"</f>
        <v>134-145</v>
      </c>
      <c r="D444" s="0" t="s">
        <v>9</v>
      </c>
      <c r="E444" s="0" t="str">
        <f aca="false">"229-240"</f>
        <v>229-240</v>
      </c>
      <c r="F444" s="0" t="s">
        <v>463</v>
      </c>
      <c r="G444" s="0" t="s">
        <v>13</v>
      </c>
      <c r="H444" s="0" t="str">
        <f aca="false">"359-370"</f>
        <v>359-370</v>
      </c>
      <c r="I444" s="0" t="s">
        <v>13</v>
      </c>
      <c r="J444" s="0" t="str">
        <f aca="false">"411-422"</f>
        <v>411-422</v>
      </c>
      <c r="K444" s="0" t="str">
        <f aca="false">"1.05"</f>
        <v>1.05</v>
      </c>
      <c r="L444" s="0" t="str">
        <f aca="false">"9.24"</f>
        <v>9.24</v>
      </c>
      <c r="M444" s="0" t="str">
        <f aca="false">"-152.2"</f>
        <v>-152.2</v>
      </c>
    </row>
    <row r="445" customFormat="false" ht="12.8" hidden="false" customHeight="false" outlineLevel="0" collapsed="false">
      <c r="A445" s="0" t="s">
        <v>8</v>
      </c>
      <c r="B445" s="0" t="s">
        <v>9</v>
      </c>
      <c r="C445" s="0" t="str">
        <f aca="false">"135-146"</f>
        <v>135-146</v>
      </c>
      <c r="D445" s="0" t="s">
        <v>9</v>
      </c>
      <c r="E445" s="0" t="str">
        <f aca="false">"226-237"</f>
        <v>226-237</v>
      </c>
      <c r="F445" s="0" t="s">
        <v>464</v>
      </c>
      <c r="G445" s="0" t="s">
        <v>9</v>
      </c>
      <c r="H445" s="0" t="str">
        <f aca="false">"394-405"</f>
        <v>394-405</v>
      </c>
      <c r="I445" s="0" t="s">
        <v>9</v>
      </c>
      <c r="J445" s="0" t="str">
        <f aca="false">"554-565"</f>
        <v>554-565</v>
      </c>
      <c r="K445" s="0" t="str">
        <f aca="false">"1.00"</f>
        <v>1.00</v>
      </c>
      <c r="L445" s="0" t="str">
        <f aca="false">"10.13"</f>
        <v>10.13</v>
      </c>
      <c r="M445" s="0" t="str">
        <f aca="false">"-138.0"</f>
        <v>-138.0</v>
      </c>
    </row>
    <row r="446" customFormat="false" ht="12.8" hidden="false" customHeight="false" outlineLevel="0" collapsed="false">
      <c r="A446" s="0" t="s">
        <v>8</v>
      </c>
      <c r="B446" s="0" t="s">
        <v>9</v>
      </c>
      <c r="C446" s="0" t="str">
        <f aca="false">"135-146"</f>
        <v>135-146</v>
      </c>
      <c r="D446" s="0" t="s">
        <v>9</v>
      </c>
      <c r="E446" s="0" t="str">
        <f aca="false">"226-237"</f>
        <v>226-237</v>
      </c>
      <c r="F446" s="0" t="s">
        <v>465</v>
      </c>
      <c r="G446" s="0" t="s">
        <v>9</v>
      </c>
      <c r="H446" s="0" t="str">
        <f aca="false">"372-383"</f>
        <v>372-383</v>
      </c>
      <c r="I446" s="0" t="s">
        <v>9</v>
      </c>
      <c r="J446" s="0" t="str">
        <f aca="false">"427-438"</f>
        <v>427-438</v>
      </c>
      <c r="K446" s="0" t="str">
        <f aca="false">"1.23"</f>
        <v>1.23</v>
      </c>
      <c r="L446" s="0" t="str">
        <f aca="false">"8.46"</f>
        <v>8.46</v>
      </c>
      <c r="M446" s="0" t="str">
        <f aca="false">"-147.5"</f>
        <v>-147.5</v>
      </c>
    </row>
    <row r="447" customFormat="false" ht="12.8" hidden="false" customHeight="false" outlineLevel="0" collapsed="false">
      <c r="A447" s="0" t="s">
        <v>8</v>
      </c>
      <c r="B447" s="0" t="s">
        <v>9</v>
      </c>
      <c r="C447" s="0" t="str">
        <f aca="false">"134-145"</f>
        <v>134-145</v>
      </c>
      <c r="D447" s="0" t="s">
        <v>9</v>
      </c>
      <c r="E447" s="0" t="str">
        <f aca="false">"229-240"</f>
        <v>229-240</v>
      </c>
      <c r="F447" s="0" t="s">
        <v>466</v>
      </c>
      <c r="G447" s="0" t="s">
        <v>9</v>
      </c>
      <c r="H447" s="0" t="str">
        <f aca="false">"243-254"</f>
        <v>243-254</v>
      </c>
      <c r="I447" s="0" t="s">
        <v>9</v>
      </c>
      <c r="J447" s="0" t="str">
        <f aca="false">"441-452"</f>
        <v>441-452</v>
      </c>
      <c r="K447" s="0" t="str">
        <f aca="false">"1.07"</f>
        <v>1.07</v>
      </c>
      <c r="L447" s="0" t="str">
        <f aca="false">"8.49"</f>
        <v>8.49</v>
      </c>
      <c r="M447" s="0" t="str">
        <f aca="false">"-145.8"</f>
        <v>-145.8</v>
      </c>
    </row>
    <row r="448" customFormat="false" ht="12.8" hidden="false" customHeight="false" outlineLevel="0" collapsed="false">
      <c r="A448" s="0" t="s">
        <v>8</v>
      </c>
      <c r="B448" s="0" t="s">
        <v>9</v>
      </c>
      <c r="C448" s="0" t="str">
        <f aca="false">"134-145"</f>
        <v>134-145</v>
      </c>
      <c r="D448" s="0" t="s">
        <v>9</v>
      </c>
      <c r="E448" s="0" t="str">
        <f aca="false">"229-240"</f>
        <v>229-240</v>
      </c>
      <c r="F448" s="0" t="s">
        <v>467</v>
      </c>
      <c r="G448" s="0" t="s">
        <v>9</v>
      </c>
      <c r="H448" s="0" t="str">
        <f aca="false">"116-127"</f>
        <v>116-127</v>
      </c>
      <c r="I448" s="0" t="s">
        <v>9</v>
      </c>
      <c r="J448" s="0" t="str">
        <f aca="false">"266-277"</f>
        <v>266-277</v>
      </c>
      <c r="K448" s="0" t="str">
        <f aca="false">"0.67"</f>
        <v>0.67</v>
      </c>
      <c r="L448" s="0" t="str">
        <f aca="false">"9.10"</f>
        <v>9.10</v>
      </c>
      <c r="M448" s="0" t="str">
        <f aca="false">"-156.2"</f>
        <v>-156.2</v>
      </c>
    </row>
    <row r="449" customFormat="false" ht="12.8" hidden="false" customHeight="false" outlineLevel="0" collapsed="false">
      <c r="A449" s="0" t="s">
        <v>8</v>
      </c>
      <c r="B449" s="0" t="s">
        <v>9</v>
      </c>
      <c r="C449" s="0" t="str">
        <f aca="false">"134-145"</f>
        <v>134-145</v>
      </c>
      <c r="D449" s="0" t="s">
        <v>9</v>
      </c>
      <c r="E449" s="0" t="str">
        <f aca="false">"229-240"</f>
        <v>229-240</v>
      </c>
      <c r="F449" s="0" t="s">
        <v>468</v>
      </c>
      <c r="G449" s="0" t="s">
        <v>9</v>
      </c>
      <c r="H449" s="0" t="str">
        <f aca="false">"724-735"</f>
        <v>724-735</v>
      </c>
      <c r="I449" s="0" t="s">
        <v>9</v>
      </c>
      <c r="J449" s="0" t="str">
        <f aca="false">"871-882"</f>
        <v>871-882</v>
      </c>
      <c r="K449" s="0" t="str">
        <f aca="false">"0.61"</f>
        <v>0.61</v>
      </c>
      <c r="L449" s="0" t="str">
        <f aca="false">"9.15"</f>
        <v>9.15</v>
      </c>
      <c r="M449" s="0" t="str">
        <f aca="false">"-155.6"</f>
        <v>-155.6</v>
      </c>
    </row>
    <row r="450" customFormat="false" ht="12.8" hidden="false" customHeight="false" outlineLevel="0" collapsed="false">
      <c r="A450" s="0" t="s">
        <v>8</v>
      </c>
      <c r="B450" s="0" t="s">
        <v>9</v>
      </c>
      <c r="C450" s="0" t="str">
        <f aca="false">"134-145"</f>
        <v>134-145</v>
      </c>
      <c r="D450" s="0" t="s">
        <v>9</v>
      </c>
      <c r="E450" s="0" t="str">
        <f aca="false">"229-240"</f>
        <v>229-240</v>
      </c>
      <c r="F450" s="0" t="s">
        <v>469</v>
      </c>
      <c r="G450" s="0" t="s">
        <v>13</v>
      </c>
      <c r="H450" s="0" t="str">
        <f aca="false">"474-485"</f>
        <v>474-485</v>
      </c>
      <c r="I450" s="0" t="s">
        <v>13</v>
      </c>
      <c r="J450" s="0" t="str">
        <f aca="false">"118-129"</f>
        <v>118-129</v>
      </c>
      <c r="K450" s="0" t="str">
        <f aca="false">"1.05"</f>
        <v>1.05</v>
      </c>
      <c r="L450" s="0" t="str">
        <f aca="false">"10.18"</f>
        <v>10.18</v>
      </c>
      <c r="M450" s="0" t="str">
        <f aca="false">"-155.5"</f>
        <v>-155.5</v>
      </c>
    </row>
    <row r="451" customFormat="false" ht="12.8" hidden="false" customHeight="false" outlineLevel="0" collapsed="false">
      <c r="A451" s="0" t="s">
        <v>8</v>
      </c>
      <c r="B451" s="0" t="s">
        <v>9</v>
      </c>
      <c r="C451" s="0" t="str">
        <f aca="false">"134-145"</f>
        <v>134-145</v>
      </c>
      <c r="D451" s="0" t="s">
        <v>9</v>
      </c>
      <c r="E451" s="0" t="str">
        <f aca="false">"229-240"</f>
        <v>229-240</v>
      </c>
      <c r="F451" s="0" t="s">
        <v>470</v>
      </c>
      <c r="G451" s="0" t="s">
        <v>120</v>
      </c>
      <c r="H451" s="0" t="str">
        <f aca="false">"10-21"</f>
        <v>10-21</v>
      </c>
      <c r="I451" s="0" t="s">
        <v>120</v>
      </c>
      <c r="J451" s="0" t="str">
        <f aca="false">"96-107"</f>
        <v>96-107</v>
      </c>
      <c r="K451" s="0" t="str">
        <f aca="false">"0.57"</f>
        <v>0.57</v>
      </c>
      <c r="L451" s="0" t="str">
        <f aca="false">"9.80"</f>
        <v>9.80</v>
      </c>
      <c r="M451" s="0" t="str">
        <f aca="false">"-145.6"</f>
        <v>-145.6</v>
      </c>
    </row>
    <row r="452" customFormat="false" ht="12.8" hidden="false" customHeight="false" outlineLevel="0" collapsed="false">
      <c r="A452" s="0" t="s">
        <v>8</v>
      </c>
      <c r="B452" s="0" t="s">
        <v>9</v>
      </c>
      <c r="C452" s="0" t="str">
        <f aca="false">"134-145"</f>
        <v>134-145</v>
      </c>
      <c r="D452" s="0" t="s">
        <v>9</v>
      </c>
      <c r="E452" s="0" t="str">
        <f aca="false">"229-240"</f>
        <v>229-240</v>
      </c>
      <c r="F452" s="0" t="s">
        <v>471</v>
      </c>
      <c r="G452" s="0" t="s">
        <v>13</v>
      </c>
      <c r="H452" s="0" t="str">
        <f aca="false">"62-73"</f>
        <v>62-73</v>
      </c>
      <c r="I452" s="0" t="s">
        <v>13</v>
      </c>
      <c r="J452" s="0" t="str">
        <f aca="false">"34-45"</f>
        <v>34-45</v>
      </c>
      <c r="K452" s="0" t="str">
        <f aca="false">"1.13"</f>
        <v>1.13</v>
      </c>
      <c r="L452" s="0" t="str">
        <f aca="false">"8.18"</f>
        <v>8.18</v>
      </c>
      <c r="M452" s="0" t="str">
        <f aca="false">"-147.4"</f>
        <v>-147.4</v>
      </c>
    </row>
    <row r="453" customFormat="false" ht="12.8" hidden="false" customHeight="false" outlineLevel="0" collapsed="false">
      <c r="A453" s="0" t="s">
        <v>8</v>
      </c>
      <c r="B453" s="0" t="s">
        <v>9</v>
      </c>
      <c r="C453" s="0" t="str">
        <f aca="false">"134-145"</f>
        <v>134-145</v>
      </c>
      <c r="D453" s="0" t="s">
        <v>9</v>
      </c>
      <c r="E453" s="0" t="str">
        <f aca="false">"226-237"</f>
        <v>226-237</v>
      </c>
      <c r="F453" s="0" t="s">
        <v>472</v>
      </c>
      <c r="G453" s="0" t="s">
        <v>13</v>
      </c>
      <c r="H453" s="0" t="str">
        <f aca="false">"629-640"</f>
        <v>629-640</v>
      </c>
      <c r="I453" s="0" t="s">
        <v>9</v>
      </c>
      <c r="J453" s="0" t="str">
        <f aca="false">"595-606"</f>
        <v>595-606</v>
      </c>
      <c r="K453" s="0" t="str">
        <f aca="false">"0.99"</f>
        <v>0.99</v>
      </c>
      <c r="L453" s="0" t="str">
        <f aca="false">"10.51"</f>
        <v>10.51</v>
      </c>
      <c r="M453" s="0" t="str">
        <f aca="false">"-137.8"</f>
        <v>-137.8</v>
      </c>
    </row>
    <row r="454" customFormat="false" ht="12.8" hidden="false" customHeight="false" outlineLevel="0" collapsed="false">
      <c r="A454" s="0" t="s">
        <v>8</v>
      </c>
      <c r="B454" s="0" t="s">
        <v>9</v>
      </c>
      <c r="C454" s="0" t="str">
        <f aca="false">"134-145"</f>
        <v>134-145</v>
      </c>
      <c r="D454" s="0" t="s">
        <v>9</v>
      </c>
      <c r="E454" s="0" t="str">
        <f aca="false">"225-236"</f>
        <v>225-236</v>
      </c>
      <c r="F454" s="0" t="s">
        <v>473</v>
      </c>
      <c r="G454" s="0" t="s">
        <v>120</v>
      </c>
      <c r="H454" s="0" t="str">
        <f aca="false">"285-296"</f>
        <v>285-296</v>
      </c>
      <c r="I454" s="0" t="s">
        <v>120</v>
      </c>
      <c r="J454" s="0" t="str">
        <f aca="false">"308-319"</f>
        <v>308-319</v>
      </c>
      <c r="K454" s="0" t="str">
        <f aca="false">"1.23"</f>
        <v>1.23</v>
      </c>
      <c r="L454" s="0" t="str">
        <f aca="false">"10.91"</f>
        <v>10.91</v>
      </c>
      <c r="M454" s="0" t="str">
        <f aca="false">"-139.8"</f>
        <v>-139.8</v>
      </c>
    </row>
    <row r="455" customFormat="false" ht="12.8" hidden="false" customHeight="false" outlineLevel="0" collapsed="false">
      <c r="A455" s="0" t="s">
        <v>8</v>
      </c>
      <c r="B455" s="0" t="s">
        <v>9</v>
      </c>
      <c r="C455" s="0" t="str">
        <f aca="false">"134-145"</f>
        <v>134-145</v>
      </c>
      <c r="D455" s="0" t="s">
        <v>9</v>
      </c>
      <c r="E455" s="0" t="str">
        <f aca="false">"229-240"</f>
        <v>229-240</v>
      </c>
      <c r="F455" s="0" t="s">
        <v>474</v>
      </c>
      <c r="G455" s="0" t="s">
        <v>9</v>
      </c>
      <c r="H455" s="0" t="str">
        <f aca="false">"2-13"</f>
        <v>2-13</v>
      </c>
      <c r="I455" s="0" t="s">
        <v>9</v>
      </c>
      <c r="J455" s="0" t="str">
        <f aca="false">"22-33"</f>
        <v>22-33</v>
      </c>
      <c r="K455" s="0" t="str">
        <f aca="false">"1.10"</f>
        <v>1.10</v>
      </c>
      <c r="L455" s="0" t="str">
        <f aca="false">"10.44"</f>
        <v>10.44</v>
      </c>
      <c r="M455" s="0" t="str">
        <f aca="false">"-148.8"</f>
        <v>-148.8</v>
      </c>
    </row>
    <row r="456" customFormat="false" ht="12.8" hidden="false" customHeight="false" outlineLevel="0" collapsed="false">
      <c r="A456" s="0" t="s">
        <v>8</v>
      </c>
      <c r="B456" s="0" t="s">
        <v>9</v>
      </c>
      <c r="C456" s="0" t="str">
        <f aca="false">"129-140"</f>
        <v>129-140</v>
      </c>
      <c r="D456" s="0" t="s">
        <v>9</v>
      </c>
      <c r="E456" s="0" t="str">
        <f aca="false">"233-244"</f>
        <v>233-244</v>
      </c>
      <c r="F456" s="0" t="s">
        <v>475</v>
      </c>
      <c r="G456" s="0" t="s">
        <v>9</v>
      </c>
      <c r="H456" s="0" t="str">
        <f aca="false">"93-104"</f>
        <v>93-104</v>
      </c>
      <c r="I456" s="0" t="s">
        <v>9</v>
      </c>
      <c r="J456" s="0" t="str">
        <f aca="false">"109-120"</f>
        <v>109-120</v>
      </c>
      <c r="K456" s="0" t="str">
        <f aca="false">"0.96"</f>
        <v>0.96</v>
      </c>
      <c r="L456" s="0" t="str">
        <f aca="false">"9.43"</f>
        <v>9.43</v>
      </c>
      <c r="M456" s="0" t="str">
        <f aca="false">"-165.2"</f>
        <v>-165.2</v>
      </c>
    </row>
    <row r="457" customFormat="false" ht="12.8" hidden="false" customHeight="false" outlineLevel="0" collapsed="false">
      <c r="A457" s="0" t="s">
        <v>8</v>
      </c>
      <c r="B457" s="0" t="s">
        <v>9</v>
      </c>
      <c r="C457" s="0" t="str">
        <f aca="false">"134-145"</f>
        <v>134-145</v>
      </c>
      <c r="D457" s="0" t="s">
        <v>9</v>
      </c>
      <c r="E457" s="0" t="str">
        <f aca="false">"229-240"</f>
        <v>229-240</v>
      </c>
      <c r="F457" s="0" t="s">
        <v>476</v>
      </c>
      <c r="G457" s="0" t="s">
        <v>9</v>
      </c>
      <c r="H457" s="0" t="str">
        <f aca="false">"151-162"</f>
        <v>151-162</v>
      </c>
      <c r="I457" s="0" t="s">
        <v>9</v>
      </c>
      <c r="J457" s="0" t="str">
        <f aca="false">"219-230"</f>
        <v>219-230</v>
      </c>
      <c r="K457" s="0" t="str">
        <f aca="false">"0.80"</f>
        <v>0.80</v>
      </c>
      <c r="L457" s="0" t="str">
        <f aca="false">"9.51"</f>
        <v>9.51</v>
      </c>
      <c r="M457" s="0" t="str">
        <f aca="false">"-143.5"</f>
        <v>-143.5</v>
      </c>
    </row>
    <row r="458" customFormat="false" ht="12.8" hidden="false" customHeight="false" outlineLevel="0" collapsed="false">
      <c r="A458" s="0" t="s">
        <v>8</v>
      </c>
      <c r="B458" s="0" t="s">
        <v>9</v>
      </c>
      <c r="C458" s="0" t="str">
        <f aca="false">"134-145"</f>
        <v>134-145</v>
      </c>
      <c r="D458" s="0" t="s">
        <v>9</v>
      </c>
      <c r="E458" s="0" t="str">
        <f aca="false">"229-240"</f>
        <v>229-240</v>
      </c>
      <c r="F458" s="0" t="s">
        <v>477</v>
      </c>
      <c r="G458" s="0" t="s">
        <v>9</v>
      </c>
      <c r="H458" s="0" t="str">
        <f aca="false">"1370-1381"</f>
        <v>1370-1381</v>
      </c>
      <c r="I458" s="0" t="s">
        <v>9</v>
      </c>
      <c r="J458" s="0" t="str">
        <f aca="false">"1391-1402"</f>
        <v>1391-1402</v>
      </c>
      <c r="K458" s="0" t="str">
        <f aca="false">"0.72"</f>
        <v>0.72</v>
      </c>
      <c r="L458" s="0" t="str">
        <f aca="false">"9.08"</f>
        <v>9.08</v>
      </c>
      <c r="M458" s="0" t="str">
        <f aca="false">"-153.8"</f>
        <v>-153.8</v>
      </c>
    </row>
    <row r="459" customFormat="false" ht="12.8" hidden="false" customHeight="false" outlineLevel="0" collapsed="false">
      <c r="A459" s="0" t="s">
        <v>8</v>
      </c>
      <c r="B459" s="0" t="s">
        <v>9</v>
      </c>
      <c r="C459" s="0" t="str">
        <f aca="false">"131-142"</f>
        <v>131-142</v>
      </c>
      <c r="D459" s="0" t="s">
        <v>9</v>
      </c>
      <c r="E459" s="0" t="str">
        <f aca="false">"233-244"</f>
        <v>233-244</v>
      </c>
      <c r="F459" s="0" t="s">
        <v>478</v>
      </c>
      <c r="G459" s="0" t="s">
        <v>13</v>
      </c>
      <c r="H459" s="0" t="str">
        <f aca="false">"48-59"</f>
        <v>48-59</v>
      </c>
      <c r="I459" s="0" t="s">
        <v>13</v>
      </c>
      <c r="J459" s="0" t="str">
        <f aca="false">"15-26"</f>
        <v>15-26</v>
      </c>
      <c r="K459" s="0" t="str">
        <f aca="false">"0.95"</f>
        <v>0.95</v>
      </c>
      <c r="L459" s="0" t="str">
        <f aca="false">"11.30"</f>
        <v>11.30</v>
      </c>
      <c r="M459" s="0" t="str">
        <f aca="false">"-156.3"</f>
        <v>-156.3</v>
      </c>
    </row>
    <row r="460" customFormat="false" ht="12.8" hidden="false" customHeight="false" outlineLevel="0" collapsed="false">
      <c r="A460" s="0" t="s">
        <v>8</v>
      </c>
      <c r="B460" s="0" t="s">
        <v>9</v>
      </c>
      <c r="C460" s="0" t="str">
        <f aca="false">"128-139"</f>
        <v>128-139</v>
      </c>
      <c r="D460" s="0" t="s">
        <v>9</v>
      </c>
      <c r="E460" s="0" t="str">
        <f aca="false">"233-244"</f>
        <v>233-244</v>
      </c>
      <c r="F460" s="0" t="s">
        <v>479</v>
      </c>
      <c r="G460" s="0" t="s">
        <v>9</v>
      </c>
      <c r="H460" s="0" t="str">
        <f aca="false">"31-42"</f>
        <v>31-42</v>
      </c>
      <c r="I460" s="0" t="s">
        <v>9</v>
      </c>
      <c r="J460" s="0" t="str">
        <f aca="false">"138-149"</f>
        <v>138-149</v>
      </c>
      <c r="K460" s="0" t="str">
        <f aca="false">"1.11"</f>
        <v>1.11</v>
      </c>
      <c r="L460" s="0" t="str">
        <f aca="false">"12.27"</f>
        <v>12.27</v>
      </c>
      <c r="M460" s="0" t="str">
        <f aca="false">"-160.0"</f>
        <v>-160.0</v>
      </c>
    </row>
    <row r="461" customFormat="false" ht="12.8" hidden="false" customHeight="false" outlineLevel="0" collapsed="false">
      <c r="A461" s="0" t="s">
        <v>8</v>
      </c>
      <c r="B461" s="0" t="s">
        <v>9</v>
      </c>
      <c r="C461" s="0" t="str">
        <f aca="false">"131-142"</f>
        <v>131-142</v>
      </c>
      <c r="D461" s="0" t="s">
        <v>9</v>
      </c>
      <c r="E461" s="0" t="str">
        <f aca="false">"232-243"</f>
        <v>232-243</v>
      </c>
      <c r="F461" s="0" t="s">
        <v>480</v>
      </c>
      <c r="G461" s="0" t="s">
        <v>120</v>
      </c>
      <c r="H461" s="0" t="str">
        <f aca="false">"84-95"</f>
        <v>84-95</v>
      </c>
      <c r="I461" s="0" t="s">
        <v>120</v>
      </c>
      <c r="J461" s="0" t="str">
        <f aca="false">"18-29"</f>
        <v>18-29</v>
      </c>
      <c r="K461" s="0" t="str">
        <f aca="false">"0.93"</f>
        <v>0.93</v>
      </c>
      <c r="L461" s="0" t="str">
        <f aca="false">"10.83"</f>
        <v>10.83</v>
      </c>
      <c r="M461" s="0" t="str">
        <f aca="false">"-166.1"</f>
        <v>-166.1</v>
      </c>
    </row>
    <row r="462" customFormat="false" ht="12.8" hidden="false" customHeight="false" outlineLevel="0" collapsed="false">
      <c r="A462" s="0" t="s">
        <v>8</v>
      </c>
      <c r="B462" s="0" t="s">
        <v>9</v>
      </c>
      <c r="C462" s="0" t="str">
        <f aca="false">"131-142"</f>
        <v>131-142</v>
      </c>
      <c r="D462" s="0" t="s">
        <v>9</v>
      </c>
      <c r="E462" s="0" t="str">
        <f aca="false">"232-243"</f>
        <v>232-243</v>
      </c>
      <c r="F462" s="0" t="s">
        <v>481</v>
      </c>
      <c r="G462" s="0" t="s">
        <v>9</v>
      </c>
      <c r="H462" s="0" t="str">
        <f aca="false">"93-104"</f>
        <v>93-104</v>
      </c>
      <c r="I462" s="0" t="s">
        <v>9</v>
      </c>
      <c r="J462" s="0" t="str">
        <f aca="false">"24-35"</f>
        <v>24-35</v>
      </c>
      <c r="K462" s="0" t="str">
        <f aca="false">"1.06"</f>
        <v>1.06</v>
      </c>
      <c r="L462" s="0" t="str">
        <f aca="false">"10.76"</f>
        <v>10.76</v>
      </c>
      <c r="M462" s="0" t="str">
        <f aca="false">"-168.5"</f>
        <v>-168.5</v>
      </c>
    </row>
    <row r="463" customFormat="false" ht="12.8" hidden="false" customHeight="false" outlineLevel="0" collapsed="false">
      <c r="A463" s="0" t="s">
        <v>8</v>
      </c>
      <c r="B463" s="0" t="s">
        <v>9</v>
      </c>
      <c r="C463" s="0" t="str">
        <f aca="false">"134-145"</f>
        <v>134-145</v>
      </c>
      <c r="D463" s="0" t="s">
        <v>9</v>
      </c>
      <c r="E463" s="0" t="str">
        <f aca="false">"230-241"</f>
        <v>230-241</v>
      </c>
      <c r="F463" s="0" t="s">
        <v>482</v>
      </c>
      <c r="G463" s="0" t="s">
        <v>71</v>
      </c>
      <c r="H463" s="0" t="str">
        <f aca="false">"91-102"</f>
        <v>91-102</v>
      </c>
      <c r="I463" s="0" t="s">
        <v>71</v>
      </c>
      <c r="J463" s="0" t="str">
        <f aca="false">"21-32"</f>
        <v>21-32</v>
      </c>
      <c r="K463" s="0" t="str">
        <f aca="false">"1.04"</f>
        <v>1.04</v>
      </c>
      <c r="L463" s="0" t="str">
        <f aca="false">"9.72"</f>
        <v>9.72</v>
      </c>
      <c r="M463" s="0" t="str">
        <f aca="false">"-160.1"</f>
        <v>-160.1</v>
      </c>
    </row>
    <row r="464" customFormat="false" ht="12.8" hidden="false" customHeight="false" outlineLevel="0" collapsed="false">
      <c r="A464" s="0" t="s">
        <v>8</v>
      </c>
      <c r="B464" s="0" t="s">
        <v>9</v>
      </c>
      <c r="C464" s="0" t="str">
        <f aca="false">"127-138"</f>
        <v>127-138</v>
      </c>
      <c r="D464" s="0" t="s">
        <v>9</v>
      </c>
      <c r="E464" s="0" t="str">
        <f aca="false">"233-244"</f>
        <v>233-244</v>
      </c>
      <c r="F464" s="0" t="s">
        <v>483</v>
      </c>
      <c r="G464" s="0" t="s">
        <v>9</v>
      </c>
      <c r="H464" s="0" t="str">
        <f aca="false">"168-179"</f>
        <v>168-179</v>
      </c>
      <c r="I464" s="0" t="s">
        <v>9</v>
      </c>
      <c r="J464" s="0" t="str">
        <f aca="false">"188-199"</f>
        <v>188-199</v>
      </c>
      <c r="K464" s="0" t="str">
        <f aca="false">"0.87"</f>
        <v>0.87</v>
      </c>
      <c r="L464" s="0" t="str">
        <f aca="false">"10.80"</f>
        <v>10.80</v>
      </c>
      <c r="M464" s="0" t="str">
        <f aca="false">"-164.1"</f>
        <v>-164.1</v>
      </c>
    </row>
    <row r="465" customFormat="false" ht="12.8" hidden="false" customHeight="false" outlineLevel="0" collapsed="false">
      <c r="A465" s="0" t="s">
        <v>8</v>
      </c>
      <c r="B465" s="0" t="s">
        <v>9</v>
      </c>
      <c r="C465" s="0" t="str">
        <f aca="false">"131-142"</f>
        <v>131-142</v>
      </c>
      <c r="D465" s="0" t="s">
        <v>9</v>
      </c>
      <c r="E465" s="0" t="str">
        <f aca="false">"233-244"</f>
        <v>233-244</v>
      </c>
      <c r="F465" s="0" t="s">
        <v>484</v>
      </c>
      <c r="G465" s="0" t="s">
        <v>9</v>
      </c>
      <c r="H465" s="0" t="str">
        <f aca="false">"374-385"</f>
        <v>374-385</v>
      </c>
      <c r="I465" s="0" t="s">
        <v>9</v>
      </c>
      <c r="J465" s="0" t="str">
        <f aca="false">"315-326"</f>
        <v>315-326</v>
      </c>
      <c r="K465" s="0" t="str">
        <f aca="false">"1.22"</f>
        <v>1.22</v>
      </c>
      <c r="L465" s="0" t="str">
        <f aca="false">"11.22"</f>
        <v>11.22</v>
      </c>
      <c r="M465" s="0" t="str">
        <f aca="false">"-166.6"</f>
        <v>-166.6</v>
      </c>
    </row>
    <row r="466" customFormat="false" ht="12.8" hidden="false" customHeight="false" outlineLevel="0" collapsed="false">
      <c r="A466" s="0" t="s">
        <v>8</v>
      </c>
      <c r="B466" s="0" t="s">
        <v>9</v>
      </c>
      <c r="C466" s="0" t="str">
        <f aca="false">"127-138"</f>
        <v>127-138</v>
      </c>
      <c r="D466" s="0" t="s">
        <v>9</v>
      </c>
      <c r="E466" s="0" t="str">
        <f aca="false">"233-244"</f>
        <v>233-244</v>
      </c>
      <c r="F466" s="0" t="s">
        <v>485</v>
      </c>
      <c r="G466" s="0" t="s">
        <v>9</v>
      </c>
      <c r="H466" s="0" t="str">
        <f aca="false">"1209-1220"</f>
        <v>1209-1220</v>
      </c>
      <c r="I466" s="0" t="s">
        <v>9</v>
      </c>
      <c r="J466" s="0" t="str">
        <f aca="false">"1229-1240"</f>
        <v>1229-1240</v>
      </c>
      <c r="K466" s="0" t="str">
        <f aca="false">"1.21"</f>
        <v>1.21</v>
      </c>
      <c r="L466" s="0" t="str">
        <f aca="false">"10.88"</f>
        <v>10.88</v>
      </c>
      <c r="M466" s="0" t="str">
        <f aca="false">"-165.0"</f>
        <v>-165.0</v>
      </c>
    </row>
    <row r="467" customFormat="false" ht="12.8" hidden="false" customHeight="false" outlineLevel="0" collapsed="false">
      <c r="A467" s="0" t="s">
        <v>8</v>
      </c>
      <c r="B467" s="0" t="s">
        <v>9</v>
      </c>
      <c r="C467" s="0" t="str">
        <f aca="false">"131-142"</f>
        <v>131-142</v>
      </c>
      <c r="D467" s="0" t="s">
        <v>9</v>
      </c>
      <c r="E467" s="0" t="str">
        <f aca="false">"229-240"</f>
        <v>229-240</v>
      </c>
      <c r="F467" s="0" t="s">
        <v>486</v>
      </c>
      <c r="G467" s="0" t="s">
        <v>9</v>
      </c>
      <c r="H467" s="0" t="str">
        <f aca="false">"109-120"</f>
        <v>109-120</v>
      </c>
      <c r="I467" s="0" t="s">
        <v>9</v>
      </c>
      <c r="J467" s="0" t="str">
        <f aca="false">"49-60"</f>
        <v>49-60</v>
      </c>
      <c r="K467" s="0" t="str">
        <f aca="false">"0.71"</f>
        <v>0.71</v>
      </c>
      <c r="L467" s="0" t="str">
        <f aca="false">"10.27"</f>
        <v>10.27</v>
      </c>
      <c r="M467" s="0" t="str">
        <f aca="false">"-165.3"</f>
        <v>-165.3</v>
      </c>
    </row>
    <row r="468" customFormat="false" ht="12.8" hidden="false" customHeight="false" outlineLevel="0" collapsed="false">
      <c r="A468" s="0" t="s">
        <v>8</v>
      </c>
      <c r="B468" s="0" t="s">
        <v>9</v>
      </c>
      <c r="C468" s="0" t="str">
        <f aca="false">"134-145"</f>
        <v>134-145</v>
      </c>
      <c r="D468" s="0" t="s">
        <v>9</v>
      </c>
      <c r="E468" s="0" t="str">
        <f aca="false">"229-240"</f>
        <v>229-240</v>
      </c>
      <c r="F468" s="0" t="s">
        <v>487</v>
      </c>
      <c r="G468" s="0" t="s">
        <v>120</v>
      </c>
      <c r="H468" s="0" t="str">
        <f aca="false">"58-69"</f>
        <v>58-69</v>
      </c>
      <c r="I468" s="0" t="s">
        <v>120</v>
      </c>
      <c r="J468" s="0" t="str">
        <f aca="false">"35-46"</f>
        <v>35-46</v>
      </c>
      <c r="K468" s="0" t="str">
        <f aca="false">"0.87"</f>
        <v>0.87</v>
      </c>
      <c r="L468" s="0" t="str">
        <f aca="false">"9.70"</f>
        <v>9.70</v>
      </c>
      <c r="M468" s="0" t="str">
        <f aca="false">"-168.0"</f>
        <v>-168.0</v>
      </c>
    </row>
    <row r="469" customFormat="false" ht="12.8" hidden="false" customHeight="false" outlineLevel="0" collapsed="false">
      <c r="A469" s="0" t="s">
        <v>8</v>
      </c>
      <c r="B469" s="0" t="s">
        <v>9</v>
      </c>
      <c r="C469" s="0" t="str">
        <f aca="false">"131-142"</f>
        <v>131-142</v>
      </c>
      <c r="D469" s="0" t="s">
        <v>9</v>
      </c>
      <c r="E469" s="0" t="str">
        <f aca="false">"229-240"</f>
        <v>229-240</v>
      </c>
      <c r="F469" s="0" t="s">
        <v>488</v>
      </c>
      <c r="G469" s="0" t="s">
        <v>13</v>
      </c>
      <c r="H469" s="0" t="str">
        <f aca="false">"189-200"</f>
        <v>189-200</v>
      </c>
      <c r="I469" s="0" t="s">
        <v>13</v>
      </c>
      <c r="J469" s="0" t="str">
        <f aca="false">"217-228"</f>
        <v>217-228</v>
      </c>
      <c r="K469" s="0" t="str">
        <f aca="false">"1.12"</f>
        <v>1.12</v>
      </c>
      <c r="L469" s="0" t="str">
        <f aca="false">"10.27"</f>
        <v>10.27</v>
      </c>
      <c r="M469" s="0" t="str">
        <f aca="false">"-159.6"</f>
        <v>-159.6</v>
      </c>
    </row>
    <row r="470" customFormat="false" ht="12.8" hidden="false" customHeight="false" outlineLevel="0" collapsed="false">
      <c r="A470" s="0" t="s">
        <v>8</v>
      </c>
      <c r="B470" s="0" t="s">
        <v>9</v>
      </c>
      <c r="C470" s="0" t="str">
        <f aca="false">"127-138"</f>
        <v>127-138</v>
      </c>
      <c r="D470" s="0" t="s">
        <v>9</v>
      </c>
      <c r="E470" s="0" t="str">
        <f aca="false">"233-244"</f>
        <v>233-244</v>
      </c>
      <c r="F470" s="0" t="s">
        <v>489</v>
      </c>
      <c r="G470" s="0" t="s">
        <v>13</v>
      </c>
      <c r="H470" s="0" t="str">
        <f aca="false">"160-171"</f>
        <v>160-171</v>
      </c>
      <c r="I470" s="0" t="s">
        <v>13</v>
      </c>
      <c r="J470" s="0" t="str">
        <f aca="false">"59-70"</f>
        <v>59-70</v>
      </c>
      <c r="K470" s="0" t="str">
        <f aca="false">"0.95"</f>
        <v>0.95</v>
      </c>
      <c r="L470" s="0" t="str">
        <f aca="false">"10.91"</f>
        <v>10.91</v>
      </c>
      <c r="M470" s="0" t="str">
        <f aca="false">"-165.7"</f>
        <v>-165.7</v>
      </c>
    </row>
    <row r="471" customFormat="false" ht="12.8" hidden="false" customHeight="false" outlineLevel="0" collapsed="false">
      <c r="A471" s="0" t="s">
        <v>8</v>
      </c>
      <c r="B471" s="0" t="s">
        <v>9</v>
      </c>
      <c r="C471" s="0" t="str">
        <f aca="false">"131-142"</f>
        <v>131-142</v>
      </c>
      <c r="D471" s="0" t="s">
        <v>9</v>
      </c>
      <c r="E471" s="0" t="str">
        <f aca="false">"229-240"</f>
        <v>229-240</v>
      </c>
      <c r="F471" s="0" t="s">
        <v>490</v>
      </c>
      <c r="G471" s="0" t="s">
        <v>9</v>
      </c>
      <c r="H471" s="0" t="str">
        <f aca="false">"37-48"</f>
        <v>37-48</v>
      </c>
      <c r="I471" s="0" t="s">
        <v>9</v>
      </c>
      <c r="J471" s="0" t="str">
        <f aca="false">"62-73"</f>
        <v>62-73</v>
      </c>
      <c r="K471" s="0" t="str">
        <f aca="false">"0.83"</f>
        <v>0.83</v>
      </c>
      <c r="L471" s="0" t="str">
        <f aca="false">"10.53"</f>
        <v>10.53</v>
      </c>
      <c r="M471" s="0" t="str">
        <f aca="false">"-144.2"</f>
        <v>-144.2</v>
      </c>
    </row>
    <row r="472" customFormat="false" ht="12.8" hidden="false" customHeight="false" outlineLevel="0" collapsed="false">
      <c r="A472" s="0" t="s">
        <v>8</v>
      </c>
      <c r="B472" s="0" t="s">
        <v>9</v>
      </c>
      <c r="C472" s="0" t="str">
        <f aca="false">"134-145"</f>
        <v>134-145</v>
      </c>
      <c r="D472" s="0" t="s">
        <v>9</v>
      </c>
      <c r="E472" s="0" t="str">
        <f aca="false">"229-240"</f>
        <v>229-240</v>
      </c>
      <c r="F472" s="0" t="s">
        <v>491</v>
      </c>
      <c r="G472" s="0" t="s">
        <v>9</v>
      </c>
      <c r="H472" s="0" t="str">
        <f aca="false">"1188-1199"</f>
        <v>1188-1199</v>
      </c>
      <c r="I472" s="0" t="s">
        <v>9</v>
      </c>
      <c r="J472" s="0" t="str">
        <f aca="false">"1171-1182"</f>
        <v>1171-1182</v>
      </c>
      <c r="K472" s="0" t="str">
        <f aca="false">"0.79"</f>
        <v>0.79</v>
      </c>
      <c r="L472" s="0" t="str">
        <f aca="false">"10.41"</f>
        <v>10.41</v>
      </c>
      <c r="M472" s="0" t="str">
        <f aca="false">"-163.2"</f>
        <v>-163.2</v>
      </c>
    </row>
    <row r="473" customFormat="false" ht="12.8" hidden="false" customHeight="false" outlineLevel="0" collapsed="false">
      <c r="A473" s="0" t="s">
        <v>8</v>
      </c>
      <c r="B473" s="0" t="s">
        <v>9</v>
      </c>
      <c r="C473" s="0" t="str">
        <f aca="false">"134-145"</f>
        <v>134-145</v>
      </c>
      <c r="D473" s="0" t="s">
        <v>9</v>
      </c>
      <c r="E473" s="0" t="str">
        <f aca="false">"229-240"</f>
        <v>229-240</v>
      </c>
      <c r="F473" s="0" t="s">
        <v>492</v>
      </c>
      <c r="G473" s="0" t="s">
        <v>9</v>
      </c>
      <c r="H473" s="0" t="str">
        <f aca="false">"280-291"</f>
        <v>280-291</v>
      </c>
      <c r="I473" s="0" t="s">
        <v>9</v>
      </c>
      <c r="J473" s="0" t="str">
        <f aca="false">"300-311"</f>
        <v>300-311</v>
      </c>
      <c r="K473" s="0" t="str">
        <f aca="false">"0.69"</f>
        <v>0.69</v>
      </c>
      <c r="L473" s="0" t="str">
        <f aca="false">"9.99"</f>
        <v>9.99</v>
      </c>
      <c r="M473" s="0" t="str">
        <f aca="false">"-148.5"</f>
        <v>-148.5</v>
      </c>
    </row>
    <row r="474" customFormat="false" ht="12.8" hidden="false" customHeight="false" outlineLevel="0" collapsed="false">
      <c r="A474" s="0" t="s">
        <v>8</v>
      </c>
      <c r="B474" s="0" t="s">
        <v>9</v>
      </c>
      <c r="C474" s="0" t="str">
        <f aca="false">"131-142"</f>
        <v>131-142</v>
      </c>
      <c r="D474" s="0" t="s">
        <v>9</v>
      </c>
      <c r="E474" s="0" t="str">
        <f aca="false">"229-240"</f>
        <v>229-240</v>
      </c>
      <c r="F474" s="0" t="s">
        <v>493</v>
      </c>
      <c r="G474" s="0" t="s">
        <v>9</v>
      </c>
      <c r="H474" s="0" t="str">
        <f aca="false">"544-555"</f>
        <v>544-555</v>
      </c>
      <c r="I474" s="0" t="s">
        <v>9</v>
      </c>
      <c r="J474" s="0" t="str">
        <f aca="false">"528-539"</f>
        <v>528-539</v>
      </c>
      <c r="K474" s="0" t="str">
        <f aca="false">"1.18"</f>
        <v>1.18</v>
      </c>
      <c r="L474" s="0" t="str">
        <f aca="false">"9.92"</f>
        <v>9.92</v>
      </c>
      <c r="M474" s="0" t="str">
        <f aca="false">"-146.3"</f>
        <v>-146.3</v>
      </c>
    </row>
    <row r="475" customFormat="false" ht="12.8" hidden="false" customHeight="false" outlineLevel="0" collapsed="false">
      <c r="A475" s="0" t="s">
        <v>8</v>
      </c>
      <c r="B475" s="0" t="s">
        <v>9</v>
      </c>
      <c r="C475" s="0" t="str">
        <f aca="false">"131-142"</f>
        <v>131-142</v>
      </c>
      <c r="D475" s="0" t="s">
        <v>9</v>
      </c>
      <c r="E475" s="0" t="str">
        <f aca="false">"229-240"</f>
        <v>229-240</v>
      </c>
      <c r="F475" s="0" t="s">
        <v>494</v>
      </c>
      <c r="G475" s="0" t="s">
        <v>9</v>
      </c>
      <c r="H475" s="0" t="str">
        <f aca="false">"533-544"</f>
        <v>533-544</v>
      </c>
      <c r="I475" s="0" t="s">
        <v>9</v>
      </c>
      <c r="J475" s="0" t="str">
        <f aca="false">"552-563"</f>
        <v>552-563</v>
      </c>
      <c r="K475" s="0" t="str">
        <f aca="false">"0.76"</f>
        <v>0.76</v>
      </c>
      <c r="L475" s="0" t="str">
        <f aca="false">"10.73"</f>
        <v>10.73</v>
      </c>
      <c r="M475" s="0" t="str">
        <f aca="false">"-145.9"</f>
        <v>-145.9</v>
      </c>
    </row>
    <row r="476" customFormat="false" ht="12.8" hidden="false" customHeight="false" outlineLevel="0" collapsed="false">
      <c r="A476" s="0" t="s">
        <v>8</v>
      </c>
      <c r="B476" s="0" t="s">
        <v>9</v>
      </c>
      <c r="C476" s="0" t="str">
        <f aca="false">"131-142"</f>
        <v>131-142</v>
      </c>
      <c r="D476" s="0" t="s">
        <v>9</v>
      </c>
      <c r="E476" s="0" t="str">
        <f aca="false">"229-240"</f>
        <v>229-240</v>
      </c>
      <c r="F476" s="0" t="s">
        <v>495</v>
      </c>
      <c r="G476" s="0" t="s">
        <v>13</v>
      </c>
      <c r="H476" s="0" t="str">
        <f aca="false">"466-477"</f>
        <v>466-477</v>
      </c>
      <c r="I476" s="0" t="s">
        <v>13</v>
      </c>
      <c r="J476" s="0" t="str">
        <f aca="false">"490-501"</f>
        <v>490-501</v>
      </c>
      <c r="K476" s="0" t="str">
        <f aca="false">"1.22"</f>
        <v>1.22</v>
      </c>
      <c r="L476" s="0" t="str">
        <f aca="false">"10.90"</f>
        <v>10.90</v>
      </c>
      <c r="M476" s="0" t="str">
        <f aca="false">"-169.8"</f>
        <v>-169.8</v>
      </c>
    </row>
    <row r="477" customFormat="false" ht="12.8" hidden="false" customHeight="false" outlineLevel="0" collapsed="false">
      <c r="A477" s="0" t="s">
        <v>8</v>
      </c>
      <c r="B477" s="0" t="s">
        <v>9</v>
      </c>
      <c r="C477" s="0" t="str">
        <f aca="false">"134-145"</f>
        <v>134-145</v>
      </c>
      <c r="D477" s="0" t="s">
        <v>9</v>
      </c>
      <c r="E477" s="0" t="str">
        <f aca="false">"229-240"</f>
        <v>229-240</v>
      </c>
      <c r="F477" s="0" t="s">
        <v>496</v>
      </c>
      <c r="G477" s="0" t="s">
        <v>9</v>
      </c>
      <c r="H477" s="0" t="str">
        <f aca="false">"1043-1054"</f>
        <v>1043-1054</v>
      </c>
      <c r="I477" s="0" t="s">
        <v>9</v>
      </c>
      <c r="J477" s="0" t="str">
        <f aca="false">"1016-1027"</f>
        <v>1016-1027</v>
      </c>
      <c r="K477" s="0" t="str">
        <f aca="false">"1.00"</f>
        <v>1.00</v>
      </c>
      <c r="L477" s="0" t="str">
        <f aca="false">"9.39"</f>
        <v>9.39</v>
      </c>
      <c r="M477" s="0" t="str">
        <f aca="false">"-148.0"</f>
        <v>-148.0</v>
      </c>
    </row>
    <row r="478" customFormat="false" ht="12.8" hidden="false" customHeight="false" outlineLevel="0" collapsed="false">
      <c r="A478" s="0" t="s">
        <v>8</v>
      </c>
      <c r="B478" s="0" t="s">
        <v>9</v>
      </c>
      <c r="C478" s="0" t="str">
        <f aca="false">"131-142"</f>
        <v>131-142</v>
      </c>
      <c r="D478" s="0" t="s">
        <v>9</v>
      </c>
      <c r="E478" s="0" t="str">
        <f aca="false">"230-241"</f>
        <v>230-241</v>
      </c>
      <c r="F478" s="0" t="s">
        <v>497</v>
      </c>
      <c r="G478" s="0" t="s">
        <v>9</v>
      </c>
      <c r="H478" s="0" t="str">
        <f aca="false">"435-446"</f>
        <v>435-446</v>
      </c>
      <c r="I478" s="0" t="s">
        <v>9</v>
      </c>
      <c r="J478" s="0" t="str">
        <f aca="false">"410-421"</f>
        <v>410-421</v>
      </c>
      <c r="K478" s="0" t="str">
        <f aca="false">"0.84"</f>
        <v>0.84</v>
      </c>
      <c r="L478" s="0" t="str">
        <f aca="false">"10.27"</f>
        <v>10.27</v>
      </c>
      <c r="M478" s="0" t="str">
        <f aca="false">"-166.0"</f>
        <v>-166.0</v>
      </c>
    </row>
    <row r="479" customFormat="false" ht="12.8" hidden="false" customHeight="false" outlineLevel="0" collapsed="false">
      <c r="A479" s="0" t="s">
        <v>8</v>
      </c>
      <c r="B479" s="0" t="s">
        <v>9</v>
      </c>
      <c r="C479" s="0" t="str">
        <f aca="false">"131-142"</f>
        <v>131-142</v>
      </c>
      <c r="D479" s="0" t="s">
        <v>9</v>
      </c>
      <c r="E479" s="0" t="str">
        <f aca="false">"233-244"</f>
        <v>233-244</v>
      </c>
      <c r="F479" s="0" t="s">
        <v>498</v>
      </c>
      <c r="G479" s="0" t="s">
        <v>13</v>
      </c>
      <c r="H479" s="0" t="str">
        <f aca="false">"133-144"</f>
        <v>133-144</v>
      </c>
      <c r="I479" s="0" t="s">
        <v>13</v>
      </c>
      <c r="J479" s="0" t="str">
        <f aca="false">"242-253"</f>
        <v>242-253</v>
      </c>
      <c r="K479" s="0" t="str">
        <f aca="false">"1.19"</f>
        <v>1.19</v>
      </c>
      <c r="L479" s="0" t="str">
        <f aca="false">"9.66"</f>
        <v>9.66</v>
      </c>
      <c r="M479" s="0" t="str">
        <f aca="false">"-143.3"</f>
        <v>-143.3</v>
      </c>
    </row>
    <row r="480" customFormat="false" ht="12.8" hidden="false" customHeight="false" outlineLevel="0" collapsed="false">
      <c r="A480" s="0" t="s">
        <v>8</v>
      </c>
      <c r="B480" s="0" t="s">
        <v>9</v>
      </c>
      <c r="C480" s="0" t="str">
        <f aca="false">"128-139"</f>
        <v>128-139</v>
      </c>
      <c r="D480" s="0" t="s">
        <v>9</v>
      </c>
      <c r="E480" s="0" t="str">
        <f aca="false">"233-244"</f>
        <v>233-244</v>
      </c>
      <c r="F480" s="0" t="s">
        <v>499</v>
      </c>
      <c r="G480" s="0" t="s">
        <v>13</v>
      </c>
      <c r="H480" s="0" t="str">
        <f aca="false">"179-190"</f>
        <v>179-190</v>
      </c>
      <c r="I480" s="0" t="s">
        <v>13</v>
      </c>
      <c r="J480" s="0" t="str">
        <f aca="false">"231-242"</f>
        <v>231-242</v>
      </c>
      <c r="K480" s="0" t="str">
        <f aca="false">"0.80"</f>
        <v>0.80</v>
      </c>
      <c r="L480" s="0" t="str">
        <f aca="false">"10.56"</f>
        <v>10.56</v>
      </c>
      <c r="M480" s="0" t="str">
        <f aca="false">"-160.9"</f>
        <v>-160.9</v>
      </c>
    </row>
    <row r="481" customFormat="false" ht="12.8" hidden="false" customHeight="false" outlineLevel="0" collapsed="false">
      <c r="A481" s="0" t="s">
        <v>8</v>
      </c>
      <c r="B481" s="0" t="s">
        <v>9</v>
      </c>
      <c r="C481" s="0" t="str">
        <f aca="false">"128-139"</f>
        <v>128-139</v>
      </c>
      <c r="D481" s="0" t="s">
        <v>9</v>
      </c>
      <c r="E481" s="0" t="str">
        <f aca="false">"233-244"</f>
        <v>233-244</v>
      </c>
      <c r="F481" s="0" t="s">
        <v>500</v>
      </c>
      <c r="G481" s="0" t="s">
        <v>9</v>
      </c>
      <c r="H481" s="0" t="str">
        <f aca="false">"30-41"</f>
        <v>30-41</v>
      </c>
      <c r="I481" s="0" t="s">
        <v>9</v>
      </c>
      <c r="J481" s="0" t="str">
        <f aca="false">"54-65"</f>
        <v>54-65</v>
      </c>
      <c r="K481" s="0" t="str">
        <f aca="false">"1.05"</f>
        <v>1.05</v>
      </c>
      <c r="L481" s="0" t="str">
        <f aca="false">"10.51"</f>
        <v>10.51</v>
      </c>
      <c r="M481" s="0" t="str">
        <f aca="false">"-163.9"</f>
        <v>-163.9</v>
      </c>
    </row>
    <row r="482" customFormat="false" ht="12.8" hidden="false" customHeight="false" outlineLevel="0" collapsed="false">
      <c r="A482" s="0" t="s">
        <v>8</v>
      </c>
      <c r="B482" s="0" t="s">
        <v>9</v>
      </c>
      <c r="C482" s="0" t="str">
        <f aca="false">"135-146"</f>
        <v>135-146</v>
      </c>
      <c r="D482" s="0" t="s">
        <v>9</v>
      </c>
      <c r="E482" s="0" t="str">
        <f aca="false">"226-237"</f>
        <v>226-237</v>
      </c>
      <c r="F482" s="0" t="s">
        <v>501</v>
      </c>
      <c r="G482" s="0" t="s">
        <v>120</v>
      </c>
      <c r="H482" s="0" t="str">
        <f aca="false">"832-843"</f>
        <v>832-843</v>
      </c>
      <c r="I482" s="0" t="s">
        <v>120</v>
      </c>
      <c r="J482" s="0" t="str">
        <f aca="false">"856-867"</f>
        <v>856-867</v>
      </c>
      <c r="K482" s="0" t="str">
        <f aca="false">"0.85"</f>
        <v>0.85</v>
      </c>
      <c r="L482" s="0" t="str">
        <f aca="false">"10.64"</f>
        <v>10.64</v>
      </c>
      <c r="M482" s="0" t="str">
        <f aca="false">"-150.6"</f>
        <v>-150.6</v>
      </c>
    </row>
    <row r="483" customFormat="false" ht="12.8" hidden="false" customHeight="false" outlineLevel="0" collapsed="false">
      <c r="A483" s="0" t="s">
        <v>8</v>
      </c>
      <c r="B483" s="0" t="s">
        <v>9</v>
      </c>
      <c r="C483" s="0" t="str">
        <f aca="false">"134-145"</f>
        <v>134-145</v>
      </c>
      <c r="D483" s="0" t="s">
        <v>9</v>
      </c>
      <c r="E483" s="0" t="str">
        <f aca="false">"229-240"</f>
        <v>229-240</v>
      </c>
      <c r="F483" s="0" t="s">
        <v>502</v>
      </c>
      <c r="G483" s="0" t="s">
        <v>9</v>
      </c>
      <c r="H483" s="0" t="str">
        <f aca="false">"11-22"</f>
        <v>11-22</v>
      </c>
      <c r="I483" s="0" t="s">
        <v>9</v>
      </c>
      <c r="J483" s="0" t="str">
        <f aca="false">"614-625"</f>
        <v>614-625</v>
      </c>
      <c r="K483" s="0" t="str">
        <f aca="false">"0.88"</f>
        <v>0.88</v>
      </c>
      <c r="L483" s="0" t="str">
        <f aca="false">"9.48"</f>
        <v>9.48</v>
      </c>
      <c r="M483" s="0" t="str">
        <f aca="false">"-136.9"</f>
        <v>-136.9</v>
      </c>
    </row>
    <row r="484" customFormat="false" ht="12.8" hidden="false" customHeight="false" outlineLevel="0" collapsed="false">
      <c r="A484" s="0" t="s">
        <v>8</v>
      </c>
      <c r="B484" s="0" t="s">
        <v>9</v>
      </c>
      <c r="C484" s="0" t="str">
        <f aca="false">"134-145"</f>
        <v>134-145</v>
      </c>
      <c r="D484" s="0" t="s">
        <v>9</v>
      </c>
      <c r="E484" s="0" t="str">
        <f aca="false">"225-236"</f>
        <v>225-236</v>
      </c>
      <c r="F484" s="0" t="s">
        <v>503</v>
      </c>
      <c r="G484" s="0" t="s">
        <v>9</v>
      </c>
      <c r="H484" s="0" t="str">
        <f aca="false">"211-222"</f>
        <v>211-222</v>
      </c>
      <c r="I484" s="0" t="s">
        <v>9</v>
      </c>
      <c r="J484" s="0" t="str">
        <f aca="false">"229-240"</f>
        <v>229-240</v>
      </c>
      <c r="K484" s="0" t="str">
        <f aca="false">"1.19"</f>
        <v>1.19</v>
      </c>
      <c r="L484" s="0" t="str">
        <f aca="false">"11.23"</f>
        <v>11.23</v>
      </c>
      <c r="M484" s="0" t="str">
        <f aca="false">"-141.1"</f>
        <v>-141.1</v>
      </c>
    </row>
    <row r="485" customFormat="false" ht="12.8" hidden="false" customHeight="false" outlineLevel="0" collapsed="false">
      <c r="A485" s="0" t="s">
        <v>8</v>
      </c>
      <c r="B485" s="0" t="s">
        <v>9</v>
      </c>
      <c r="C485" s="0" t="str">
        <f aca="false">"129-140"</f>
        <v>129-140</v>
      </c>
      <c r="D485" s="0" t="s">
        <v>9</v>
      </c>
      <c r="E485" s="0" t="str">
        <f aca="false">"232-243"</f>
        <v>232-243</v>
      </c>
      <c r="F485" s="0" t="s">
        <v>504</v>
      </c>
      <c r="G485" s="0" t="s">
        <v>9</v>
      </c>
      <c r="H485" s="0" t="str">
        <f aca="false">"256-267"</f>
        <v>256-267</v>
      </c>
      <c r="I485" s="0" t="s">
        <v>9</v>
      </c>
      <c r="J485" s="0" t="str">
        <f aca="false">"273-284"</f>
        <v>273-284</v>
      </c>
      <c r="K485" s="0" t="str">
        <f aca="false">"0.93"</f>
        <v>0.93</v>
      </c>
      <c r="L485" s="0" t="str">
        <f aca="false">"10.09"</f>
        <v>10.09</v>
      </c>
      <c r="M485" s="0" t="str">
        <f aca="false">"-165.0"</f>
        <v>-165.0</v>
      </c>
    </row>
    <row r="486" customFormat="false" ht="12.8" hidden="false" customHeight="false" outlineLevel="0" collapsed="false">
      <c r="A486" s="0" t="s">
        <v>8</v>
      </c>
      <c r="B486" s="0" t="s">
        <v>9</v>
      </c>
      <c r="C486" s="0" t="str">
        <f aca="false">"127-138"</f>
        <v>127-138</v>
      </c>
      <c r="D486" s="0" t="s">
        <v>9</v>
      </c>
      <c r="E486" s="0" t="str">
        <f aca="false">"233-244"</f>
        <v>233-244</v>
      </c>
      <c r="F486" s="0" t="s">
        <v>505</v>
      </c>
      <c r="G486" s="0" t="s">
        <v>9</v>
      </c>
      <c r="H486" s="0" t="str">
        <f aca="false">"71-82"</f>
        <v>71-82</v>
      </c>
      <c r="I486" s="0" t="s">
        <v>9</v>
      </c>
      <c r="J486" s="0" t="str">
        <f aca="false">"94-105"</f>
        <v>94-105</v>
      </c>
      <c r="K486" s="0" t="str">
        <f aca="false">"1.02"</f>
        <v>1.02</v>
      </c>
      <c r="L486" s="0" t="str">
        <f aca="false">"10.87"</f>
        <v>10.87</v>
      </c>
      <c r="M486" s="0" t="str">
        <f aca="false">"-141.6"</f>
        <v>-141.6</v>
      </c>
    </row>
    <row r="487" customFormat="false" ht="12.8" hidden="false" customHeight="false" outlineLevel="0" collapsed="false">
      <c r="A487" s="0" t="s">
        <v>8</v>
      </c>
      <c r="B487" s="0" t="s">
        <v>9</v>
      </c>
      <c r="C487" s="0" t="str">
        <f aca="false">"131-142"</f>
        <v>131-142</v>
      </c>
      <c r="D487" s="0" t="s">
        <v>9</v>
      </c>
      <c r="E487" s="0" t="str">
        <f aca="false">"229-240"</f>
        <v>229-240</v>
      </c>
      <c r="F487" s="0" t="s">
        <v>506</v>
      </c>
      <c r="G487" s="0" t="s">
        <v>9</v>
      </c>
      <c r="H487" s="0" t="str">
        <f aca="false">"85-96"</f>
        <v>85-96</v>
      </c>
      <c r="I487" s="0" t="s">
        <v>9</v>
      </c>
      <c r="J487" s="0" t="str">
        <f aca="false">"43-54"</f>
        <v>43-54</v>
      </c>
      <c r="K487" s="0" t="str">
        <f aca="false">"0.86"</f>
        <v>0.86</v>
      </c>
      <c r="L487" s="0" t="str">
        <f aca="false">"10.04"</f>
        <v>10.04</v>
      </c>
      <c r="M487" s="0" t="str">
        <f aca="false">"-162.9"</f>
        <v>-162.9</v>
      </c>
    </row>
    <row r="488" customFormat="false" ht="12.8" hidden="false" customHeight="false" outlineLevel="0" collapsed="false">
      <c r="A488" s="0" t="s">
        <v>8</v>
      </c>
      <c r="B488" s="0" t="s">
        <v>9</v>
      </c>
      <c r="C488" s="0" t="str">
        <f aca="false">"131-142"</f>
        <v>131-142</v>
      </c>
      <c r="D488" s="0" t="s">
        <v>9</v>
      </c>
      <c r="E488" s="0" t="str">
        <f aca="false">"229-240"</f>
        <v>229-240</v>
      </c>
      <c r="F488" s="0" t="s">
        <v>507</v>
      </c>
      <c r="G488" s="0" t="s">
        <v>9</v>
      </c>
      <c r="H488" s="0" t="str">
        <f aca="false">"925-936"</f>
        <v>925-936</v>
      </c>
      <c r="I488" s="0" t="s">
        <v>13</v>
      </c>
      <c r="J488" s="0" t="str">
        <f aca="false">"1024-1035"</f>
        <v>1024-1035</v>
      </c>
      <c r="K488" s="0" t="str">
        <f aca="false">"1.13"</f>
        <v>1.13</v>
      </c>
      <c r="L488" s="0" t="str">
        <f aca="false">"9.53"</f>
        <v>9.53</v>
      </c>
      <c r="M488" s="0" t="str">
        <f aca="false">"-166.2"</f>
        <v>-166.2</v>
      </c>
    </row>
    <row r="489" customFormat="false" ht="12.8" hidden="false" customHeight="false" outlineLevel="0" collapsed="false">
      <c r="A489" s="0" t="s">
        <v>8</v>
      </c>
      <c r="B489" s="0" t="s">
        <v>9</v>
      </c>
      <c r="C489" s="0" t="str">
        <f aca="false">"134-145"</f>
        <v>134-145</v>
      </c>
      <c r="D489" s="0" t="s">
        <v>9</v>
      </c>
      <c r="E489" s="0" t="str">
        <f aca="false">"229-240"</f>
        <v>229-240</v>
      </c>
      <c r="F489" s="0" t="s">
        <v>508</v>
      </c>
      <c r="G489" s="0" t="s">
        <v>9</v>
      </c>
      <c r="H489" s="0" t="str">
        <f aca="false">"91-102"</f>
        <v>91-102</v>
      </c>
      <c r="I489" s="0" t="s">
        <v>9</v>
      </c>
      <c r="J489" s="0" t="str">
        <f aca="false">"66-77"</f>
        <v>66-77</v>
      </c>
      <c r="K489" s="0" t="str">
        <f aca="false">"0.84"</f>
        <v>0.84</v>
      </c>
      <c r="L489" s="0" t="str">
        <f aca="false">"9.55"</f>
        <v>9.55</v>
      </c>
      <c r="M489" s="0" t="str">
        <f aca="false">"-151.6"</f>
        <v>-151.6</v>
      </c>
    </row>
    <row r="490" customFormat="false" ht="12.8" hidden="false" customHeight="false" outlineLevel="0" collapsed="false">
      <c r="A490" s="0" t="s">
        <v>8</v>
      </c>
      <c r="B490" s="0" t="s">
        <v>9</v>
      </c>
      <c r="C490" s="0" t="str">
        <f aca="false">"127-138"</f>
        <v>127-138</v>
      </c>
      <c r="D490" s="0" t="s">
        <v>9</v>
      </c>
      <c r="E490" s="0" t="str">
        <f aca="false">"233-244"</f>
        <v>233-244</v>
      </c>
      <c r="F490" s="0" t="s">
        <v>509</v>
      </c>
      <c r="G490" s="0" t="s">
        <v>9</v>
      </c>
      <c r="H490" s="0" t="str">
        <f aca="false">"66-77"</f>
        <v>66-77</v>
      </c>
      <c r="I490" s="0" t="s">
        <v>9</v>
      </c>
      <c r="J490" s="0" t="str">
        <f aca="false">"30-41"</f>
        <v>30-41</v>
      </c>
      <c r="K490" s="0" t="str">
        <f aca="false">"0.86"</f>
        <v>0.86</v>
      </c>
      <c r="L490" s="0" t="str">
        <f aca="false">"10.40"</f>
        <v>10.40</v>
      </c>
      <c r="M490" s="0" t="str">
        <f aca="false">"-151.6"</f>
        <v>-151.6</v>
      </c>
    </row>
    <row r="491" customFormat="false" ht="12.8" hidden="false" customHeight="false" outlineLevel="0" collapsed="false">
      <c r="A491" s="0" t="s">
        <v>8</v>
      </c>
      <c r="B491" s="0" t="s">
        <v>9</v>
      </c>
      <c r="C491" s="0" t="str">
        <f aca="false">"133-144"</f>
        <v>133-144</v>
      </c>
      <c r="D491" s="0" t="s">
        <v>9</v>
      </c>
      <c r="E491" s="0" t="str">
        <f aca="false">"229-240"</f>
        <v>229-240</v>
      </c>
      <c r="F491" s="0" t="s">
        <v>510</v>
      </c>
      <c r="G491" s="0" t="s">
        <v>9</v>
      </c>
      <c r="H491" s="0" t="str">
        <f aca="false">"38-49"</f>
        <v>38-49</v>
      </c>
      <c r="I491" s="0" t="s">
        <v>9</v>
      </c>
      <c r="J491" s="0" t="str">
        <f aca="false">"53-64"</f>
        <v>53-64</v>
      </c>
      <c r="K491" s="0" t="str">
        <f aca="false">"1.12"</f>
        <v>1.12</v>
      </c>
      <c r="L491" s="0" t="str">
        <f aca="false">"9.85"</f>
        <v>9.85</v>
      </c>
      <c r="M491" s="0" t="str">
        <f aca="false">"-166.1"</f>
        <v>-166.1</v>
      </c>
    </row>
    <row r="492" customFormat="false" ht="12.8" hidden="false" customHeight="false" outlineLevel="0" collapsed="false">
      <c r="A492" s="0" t="s">
        <v>8</v>
      </c>
      <c r="B492" s="0" t="s">
        <v>9</v>
      </c>
      <c r="C492" s="0" t="str">
        <f aca="false">"128-139"</f>
        <v>128-139</v>
      </c>
      <c r="D492" s="0" t="s">
        <v>9</v>
      </c>
      <c r="E492" s="0" t="str">
        <f aca="false">"233-244"</f>
        <v>233-244</v>
      </c>
      <c r="F492" s="0" t="s">
        <v>511</v>
      </c>
      <c r="G492" s="0" t="s">
        <v>9</v>
      </c>
      <c r="H492" s="0" t="str">
        <f aca="false">"47-58"</f>
        <v>47-58</v>
      </c>
      <c r="I492" s="0" t="s">
        <v>9</v>
      </c>
      <c r="J492" s="0" t="str">
        <f aca="false">"20-31"</f>
        <v>20-31</v>
      </c>
      <c r="K492" s="0" t="str">
        <f aca="false">"0.94"</f>
        <v>0.94</v>
      </c>
      <c r="L492" s="0" t="str">
        <f aca="false">"11.16"</f>
        <v>11.16</v>
      </c>
      <c r="M492" s="0" t="str">
        <f aca="false">"-153.2"</f>
        <v>-153.2</v>
      </c>
    </row>
    <row r="493" customFormat="false" ht="12.8" hidden="false" customHeight="false" outlineLevel="0" collapsed="false">
      <c r="A493" s="0" t="s">
        <v>8</v>
      </c>
      <c r="B493" s="0" t="s">
        <v>9</v>
      </c>
      <c r="C493" s="0" t="str">
        <f aca="false">"134-145"</f>
        <v>134-145</v>
      </c>
      <c r="D493" s="0" t="s">
        <v>9</v>
      </c>
      <c r="E493" s="0" t="str">
        <f aca="false">"229-240"</f>
        <v>229-240</v>
      </c>
      <c r="F493" s="0" t="s">
        <v>512</v>
      </c>
      <c r="G493" s="0" t="s">
        <v>9</v>
      </c>
      <c r="H493" s="0" t="str">
        <f aca="false">"336-347"</f>
        <v>336-347</v>
      </c>
      <c r="I493" s="0" t="s">
        <v>9</v>
      </c>
      <c r="J493" s="0" t="str">
        <f aca="false">"240-251"</f>
        <v>240-251</v>
      </c>
      <c r="K493" s="0" t="str">
        <f aca="false">"1.12"</f>
        <v>1.12</v>
      </c>
      <c r="L493" s="0" t="str">
        <f aca="false">"10.94"</f>
        <v>10.94</v>
      </c>
      <c r="M493" s="0" t="str">
        <f aca="false">"-163.8"</f>
        <v>-163.8</v>
      </c>
    </row>
    <row r="494" customFormat="false" ht="12.8" hidden="false" customHeight="false" outlineLevel="0" collapsed="false">
      <c r="A494" s="0" t="s">
        <v>8</v>
      </c>
      <c r="B494" s="0" t="s">
        <v>9</v>
      </c>
      <c r="C494" s="0" t="str">
        <f aca="false">"127-138"</f>
        <v>127-138</v>
      </c>
      <c r="D494" s="0" t="s">
        <v>9</v>
      </c>
      <c r="E494" s="0" t="str">
        <f aca="false">"233-244"</f>
        <v>233-244</v>
      </c>
      <c r="F494" s="0" t="s">
        <v>513</v>
      </c>
      <c r="G494" s="0" t="s">
        <v>9</v>
      </c>
      <c r="H494" s="0" t="str">
        <f aca="false">"288-299"</f>
        <v>288-299</v>
      </c>
      <c r="I494" s="0" t="s">
        <v>9</v>
      </c>
      <c r="J494" s="0" t="str">
        <f aca="false">"410-421"</f>
        <v>410-421</v>
      </c>
      <c r="K494" s="0" t="str">
        <f aca="false">"1.18"</f>
        <v>1.18</v>
      </c>
      <c r="L494" s="0" t="str">
        <f aca="false">"11.76"</f>
        <v>11.76</v>
      </c>
      <c r="M494" s="0" t="str">
        <f aca="false">"-164.0"</f>
        <v>-164.0</v>
      </c>
    </row>
    <row r="495" customFormat="false" ht="12.8" hidden="false" customHeight="false" outlineLevel="0" collapsed="false">
      <c r="A495" s="0" t="s">
        <v>8</v>
      </c>
      <c r="B495" s="0" t="s">
        <v>9</v>
      </c>
      <c r="C495" s="0" t="str">
        <f aca="false">"127-138"</f>
        <v>127-138</v>
      </c>
      <c r="D495" s="0" t="s">
        <v>9</v>
      </c>
      <c r="E495" s="0" t="str">
        <f aca="false">"234-245"</f>
        <v>234-245</v>
      </c>
      <c r="F495" s="0" t="s">
        <v>514</v>
      </c>
      <c r="G495" s="0" t="s">
        <v>120</v>
      </c>
      <c r="H495" s="0" t="str">
        <f aca="false">"400-411"</f>
        <v>400-411</v>
      </c>
      <c r="I495" s="0" t="s">
        <v>120</v>
      </c>
      <c r="J495" s="0" t="str">
        <f aca="false">"419-430"</f>
        <v>419-430</v>
      </c>
      <c r="K495" s="0" t="str">
        <f aca="false">"0.81"</f>
        <v>0.81</v>
      </c>
      <c r="L495" s="0" t="str">
        <f aca="false">"9.60"</f>
        <v>9.60</v>
      </c>
      <c r="M495" s="0" t="str">
        <f aca="false">"-150.6"</f>
        <v>-150.6</v>
      </c>
    </row>
    <row r="496" customFormat="false" ht="12.8" hidden="false" customHeight="false" outlineLevel="0" collapsed="false">
      <c r="A496" s="0" t="s">
        <v>8</v>
      </c>
      <c r="B496" s="0" t="s">
        <v>9</v>
      </c>
      <c r="C496" s="0" t="str">
        <f aca="false">"130-141"</f>
        <v>130-141</v>
      </c>
      <c r="D496" s="0" t="s">
        <v>9</v>
      </c>
      <c r="E496" s="0" t="str">
        <f aca="false">"233-244"</f>
        <v>233-244</v>
      </c>
      <c r="F496" s="0" t="s">
        <v>515</v>
      </c>
      <c r="G496" s="0" t="s">
        <v>13</v>
      </c>
      <c r="H496" s="0" t="str">
        <f aca="false">"272-283"</f>
        <v>272-283</v>
      </c>
      <c r="I496" s="0" t="s">
        <v>13</v>
      </c>
      <c r="J496" s="0" t="str">
        <f aca="false">"244-255"</f>
        <v>244-255</v>
      </c>
      <c r="K496" s="0" t="str">
        <f aca="false">"1.20"</f>
        <v>1.20</v>
      </c>
      <c r="L496" s="0" t="str">
        <f aca="false">"10.84"</f>
        <v>10.84</v>
      </c>
      <c r="M496" s="0" t="str">
        <f aca="false">"-157.2"</f>
        <v>-157.2</v>
      </c>
    </row>
    <row r="497" customFormat="false" ht="12.8" hidden="false" customHeight="false" outlineLevel="0" collapsed="false">
      <c r="A497" s="0" t="s">
        <v>8</v>
      </c>
      <c r="B497" s="0" t="s">
        <v>9</v>
      </c>
      <c r="C497" s="0" t="str">
        <f aca="false">"134-145"</f>
        <v>134-145</v>
      </c>
      <c r="D497" s="0" t="s">
        <v>9</v>
      </c>
      <c r="E497" s="0" t="str">
        <f aca="false">"229-240"</f>
        <v>229-240</v>
      </c>
      <c r="F497" s="0" t="s">
        <v>516</v>
      </c>
      <c r="G497" s="0" t="s">
        <v>71</v>
      </c>
      <c r="H497" s="0" t="str">
        <f aca="false">"21-32"</f>
        <v>21-32</v>
      </c>
      <c r="I497" s="0" t="s">
        <v>71</v>
      </c>
      <c r="J497" s="0" t="str">
        <f aca="false">"113-124"</f>
        <v>113-124</v>
      </c>
      <c r="K497" s="0" t="str">
        <f aca="false">"1.16"</f>
        <v>1.16</v>
      </c>
      <c r="L497" s="0" t="str">
        <f aca="false">"10.60"</f>
        <v>10.60</v>
      </c>
      <c r="M497" s="0" t="str">
        <f aca="false">"-162.2"</f>
        <v>-162.2</v>
      </c>
    </row>
    <row r="498" customFormat="false" ht="12.8" hidden="false" customHeight="false" outlineLevel="0" collapsed="false">
      <c r="A498" s="0" t="s">
        <v>8</v>
      </c>
      <c r="B498" s="0" t="s">
        <v>9</v>
      </c>
      <c r="C498" s="0" t="str">
        <f aca="false">"134-145"</f>
        <v>134-145</v>
      </c>
      <c r="D498" s="0" t="s">
        <v>9</v>
      </c>
      <c r="E498" s="0" t="str">
        <f aca="false">"229-240"</f>
        <v>229-240</v>
      </c>
      <c r="F498" s="0" t="s">
        <v>517</v>
      </c>
      <c r="G498" s="0" t="s">
        <v>9</v>
      </c>
      <c r="H498" s="0" t="str">
        <f aca="false">"209-220"</f>
        <v>209-220</v>
      </c>
      <c r="I498" s="0" t="s">
        <v>9</v>
      </c>
      <c r="J498" s="0" t="str">
        <f aca="false">"244-255"</f>
        <v>244-255</v>
      </c>
      <c r="K498" s="0" t="str">
        <f aca="false">"1.17"</f>
        <v>1.17</v>
      </c>
      <c r="L498" s="0" t="str">
        <f aca="false">"11.18"</f>
        <v>11.18</v>
      </c>
      <c r="M498" s="0" t="str">
        <f aca="false">"-153.8"</f>
        <v>-153.8</v>
      </c>
    </row>
    <row r="499" customFormat="false" ht="12.8" hidden="false" customHeight="false" outlineLevel="0" collapsed="false">
      <c r="A499" s="0" t="s">
        <v>8</v>
      </c>
      <c r="B499" s="0" t="s">
        <v>9</v>
      </c>
      <c r="C499" s="0" t="str">
        <f aca="false">"134-145"</f>
        <v>134-145</v>
      </c>
      <c r="D499" s="0" t="s">
        <v>9</v>
      </c>
      <c r="E499" s="0" t="str">
        <f aca="false">"229-240"</f>
        <v>229-240</v>
      </c>
      <c r="F499" s="0" t="s">
        <v>518</v>
      </c>
      <c r="G499" s="0" t="s">
        <v>13</v>
      </c>
      <c r="H499" s="0" t="str">
        <f aca="false">"459-470"</f>
        <v>459-470</v>
      </c>
      <c r="I499" s="0" t="s">
        <v>13</v>
      </c>
      <c r="J499" s="0" t="str">
        <f aca="false">"412-423"</f>
        <v>412-423</v>
      </c>
      <c r="K499" s="0" t="str">
        <f aca="false">"0.96"</f>
        <v>0.96</v>
      </c>
      <c r="L499" s="0" t="str">
        <f aca="false">"9.31"</f>
        <v>9.31</v>
      </c>
      <c r="M499" s="0" t="str">
        <f aca="false">"-154.7"</f>
        <v>-154.7</v>
      </c>
    </row>
    <row r="500" customFormat="false" ht="12.8" hidden="false" customHeight="false" outlineLevel="0" collapsed="false">
      <c r="A500" s="0" t="s">
        <v>8</v>
      </c>
      <c r="B500" s="0" t="s">
        <v>9</v>
      </c>
      <c r="C500" s="0" t="str">
        <f aca="false">"127-138"</f>
        <v>127-138</v>
      </c>
      <c r="D500" s="0" t="s">
        <v>9</v>
      </c>
      <c r="E500" s="0" t="str">
        <f aca="false">"233-244"</f>
        <v>233-244</v>
      </c>
      <c r="F500" s="0" t="s">
        <v>519</v>
      </c>
      <c r="G500" s="0" t="s">
        <v>9</v>
      </c>
      <c r="H500" s="0" t="str">
        <f aca="false">"50-61"</f>
        <v>50-61</v>
      </c>
      <c r="I500" s="0" t="s">
        <v>13</v>
      </c>
      <c r="J500" s="0" t="str">
        <f aca="false">"54-65"</f>
        <v>54-65</v>
      </c>
      <c r="K500" s="0" t="str">
        <f aca="false">"0.81"</f>
        <v>0.81</v>
      </c>
      <c r="L500" s="0" t="str">
        <f aca="false">"11.45"</f>
        <v>11.45</v>
      </c>
      <c r="M500" s="0" t="str">
        <f aca="false">"-160.3"</f>
        <v>-160.3</v>
      </c>
    </row>
    <row r="501" customFormat="false" ht="12.8" hidden="false" customHeight="false" outlineLevel="0" collapsed="false">
      <c r="A501" s="0" t="s">
        <v>8</v>
      </c>
      <c r="B501" s="0" t="s">
        <v>9</v>
      </c>
      <c r="C501" s="0" t="str">
        <f aca="false">"131-142"</f>
        <v>131-142</v>
      </c>
      <c r="D501" s="0" t="s">
        <v>9</v>
      </c>
      <c r="E501" s="0" t="str">
        <f aca="false">"229-240"</f>
        <v>229-240</v>
      </c>
      <c r="F501" s="0" t="s">
        <v>520</v>
      </c>
      <c r="G501" s="0" t="s">
        <v>13</v>
      </c>
      <c r="H501" s="0" t="str">
        <f aca="false">"860-871"</f>
        <v>860-871</v>
      </c>
      <c r="I501" s="0" t="s">
        <v>13</v>
      </c>
      <c r="J501" s="0" t="str">
        <f aca="false">"835-846"</f>
        <v>835-846</v>
      </c>
      <c r="K501" s="0" t="str">
        <f aca="false">"1.25"</f>
        <v>1.25</v>
      </c>
      <c r="L501" s="0" t="str">
        <f aca="false">"10.21"</f>
        <v>10.21</v>
      </c>
      <c r="M501" s="0" t="str">
        <f aca="false">"-146.7"</f>
        <v>-146.7</v>
      </c>
    </row>
    <row r="502" customFormat="false" ht="12.8" hidden="false" customHeight="false" outlineLevel="0" collapsed="false">
      <c r="A502" s="0" t="s">
        <v>8</v>
      </c>
      <c r="B502" s="0" t="s">
        <v>9</v>
      </c>
      <c r="C502" s="0" t="str">
        <f aca="false">"131-142"</f>
        <v>131-142</v>
      </c>
      <c r="D502" s="0" t="s">
        <v>9</v>
      </c>
      <c r="E502" s="0" t="str">
        <f aca="false">"232-243"</f>
        <v>232-243</v>
      </c>
      <c r="F502" s="0" t="s">
        <v>521</v>
      </c>
      <c r="G502" s="0" t="s">
        <v>9</v>
      </c>
      <c r="H502" s="0" t="str">
        <f aca="false">"189-200"</f>
        <v>189-200</v>
      </c>
      <c r="I502" s="0" t="s">
        <v>9</v>
      </c>
      <c r="J502" s="0" t="str">
        <f aca="false">"174-185"</f>
        <v>174-185</v>
      </c>
      <c r="K502" s="0" t="str">
        <f aca="false">"1.01"</f>
        <v>1.01</v>
      </c>
      <c r="L502" s="0" t="str">
        <f aca="false">"10.96"</f>
        <v>10.96</v>
      </c>
      <c r="M502" s="0" t="str">
        <f aca="false">"-149.2"</f>
        <v>-149.2</v>
      </c>
    </row>
    <row r="503" customFormat="false" ht="12.8" hidden="false" customHeight="false" outlineLevel="0" collapsed="false">
      <c r="A503" s="0" t="s">
        <v>8</v>
      </c>
      <c r="B503" s="0" t="s">
        <v>9</v>
      </c>
      <c r="C503" s="0" t="str">
        <f aca="false">"131-142"</f>
        <v>131-142</v>
      </c>
      <c r="D503" s="0" t="s">
        <v>9</v>
      </c>
      <c r="E503" s="0" t="str">
        <f aca="false">"229-240"</f>
        <v>229-240</v>
      </c>
      <c r="F503" s="0" t="s">
        <v>522</v>
      </c>
      <c r="G503" s="0" t="s">
        <v>9</v>
      </c>
      <c r="H503" s="0" t="str">
        <f aca="false">"229-240"</f>
        <v>229-240</v>
      </c>
      <c r="I503" s="0" t="s">
        <v>9</v>
      </c>
      <c r="J503" s="0" t="str">
        <f aca="false">"256-267"</f>
        <v>256-267</v>
      </c>
      <c r="K503" s="0" t="str">
        <f aca="false">"0.99"</f>
        <v>0.99</v>
      </c>
      <c r="L503" s="0" t="str">
        <f aca="false">"9.72"</f>
        <v>9.72</v>
      </c>
      <c r="M503" s="0" t="str">
        <f aca="false">"-147.9"</f>
        <v>-147.9</v>
      </c>
    </row>
    <row r="504" customFormat="false" ht="12.8" hidden="false" customHeight="false" outlineLevel="0" collapsed="false">
      <c r="A504" s="0" t="s">
        <v>8</v>
      </c>
      <c r="B504" s="0" t="s">
        <v>9</v>
      </c>
      <c r="C504" s="0" t="str">
        <f aca="false">"127-138"</f>
        <v>127-138</v>
      </c>
      <c r="D504" s="0" t="s">
        <v>9</v>
      </c>
      <c r="E504" s="0" t="str">
        <f aca="false">"233-244"</f>
        <v>233-244</v>
      </c>
      <c r="F504" s="0" t="s">
        <v>523</v>
      </c>
      <c r="G504" s="0" t="s">
        <v>9</v>
      </c>
      <c r="H504" s="0" t="str">
        <f aca="false">"430-441"</f>
        <v>430-441</v>
      </c>
      <c r="I504" s="0" t="s">
        <v>9</v>
      </c>
      <c r="J504" s="0" t="str">
        <f aca="false">"478-489"</f>
        <v>478-489</v>
      </c>
      <c r="K504" s="0" t="str">
        <f aca="false">"0.90"</f>
        <v>0.90</v>
      </c>
      <c r="L504" s="0" t="str">
        <f aca="false">"12.12"</f>
        <v>12.12</v>
      </c>
      <c r="M504" s="0" t="str">
        <f aca="false">"-155.3"</f>
        <v>-155.3</v>
      </c>
    </row>
    <row r="505" customFormat="false" ht="12.8" hidden="false" customHeight="false" outlineLevel="0" collapsed="false">
      <c r="A505" s="0" t="s">
        <v>8</v>
      </c>
      <c r="B505" s="0" t="s">
        <v>9</v>
      </c>
      <c r="C505" s="0" t="str">
        <f aca="false">"128-139"</f>
        <v>128-139</v>
      </c>
      <c r="D505" s="0" t="s">
        <v>9</v>
      </c>
      <c r="E505" s="0" t="str">
        <f aca="false">"233-244"</f>
        <v>233-244</v>
      </c>
      <c r="F505" s="0" t="s">
        <v>524</v>
      </c>
      <c r="G505" s="0" t="s">
        <v>9</v>
      </c>
      <c r="H505" s="0" t="str">
        <f aca="false">"310-321"</f>
        <v>310-321</v>
      </c>
      <c r="I505" s="0" t="s">
        <v>9</v>
      </c>
      <c r="J505" s="0" t="str">
        <f aca="false">"328-339"</f>
        <v>328-339</v>
      </c>
      <c r="K505" s="0" t="str">
        <f aca="false">"0.79"</f>
        <v>0.79</v>
      </c>
      <c r="L505" s="0" t="str">
        <f aca="false">"9.82"</f>
        <v>9.82</v>
      </c>
      <c r="M505" s="0" t="str">
        <f aca="false">"-153.7"</f>
        <v>-153.7</v>
      </c>
    </row>
    <row r="506" customFormat="false" ht="12.8" hidden="false" customHeight="false" outlineLevel="0" collapsed="false">
      <c r="A506" s="0" t="s">
        <v>8</v>
      </c>
      <c r="B506" s="0" t="s">
        <v>9</v>
      </c>
      <c r="C506" s="0" t="str">
        <f aca="false">"134-145"</f>
        <v>134-145</v>
      </c>
      <c r="D506" s="0" t="s">
        <v>9</v>
      </c>
      <c r="E506" s="0" t="str">
        <f aca="false">"229-240"</f>
        <v>229-240</v>
      </c>
      <c r="F506" s="0" t="s">
        <v>525</v>
      </c>
      <c r="G506" s="0" t="s">
        <v>13</v>
      </c>
      <c r="H506" s="0" t="str">
        <f aca="false">"327-338"</f>
        <v>327-338</v>
      </c>
      <c r="I506" s="0" t="s">
        <v>13</v>
      </c>
      <c r="J506" s="0" t="str">
        <f aca="false">"352-363"</f>
        <v>352-363</v>
      </c>
      <c r="K506" s="0" t="str">
        <f aca="false">"0.95"</f>
        <v>0.95</v>
      </c>
      <c r="L506" s="0" t="str">
        <f aca="false">"9.84"</f>
        <v>9.84</v>
      </c>
      <c r="M506" s="0" t="str">
        <f aca="false">"-150.7"</f>
        <v>-150.7</v>
      </c>
    </row>
    <row r="507" customFormat="false" ht="12.8" hidden="false" customHeight="false" outlineLevel="0" collapsed="false">
      <c r="A507" s="0" t="s">
        <v>8</v>
      </c>
      <c r="B507" s="0" t="s">
        <v>9</v>
      </c>
      <c r="C507" s="0" t="str">
        <f aca="false">"130-141"</f>
        <v>130-141</v>
      </c>
      <c r="D507" s="0" t="s">
        <v>9</v>
      </c>
      <c r="E507" s="0" t="str">
        <f aca="false">"233-244"</f>
        <v>233-244</v>
      </c>
      <c r="F507" s="0" t="s">
        <v>526</v>
      </c>
      <c r="G507" s="0" t="s">
        <v>13</v>
      </c>
      <c r="H507" s="0" t="str">
        <f aca="false">"79-90"</f>
        <v>79-90</v>
      </c>
      <c r="I507" s="0" t="s">
        <v>9</v>
      </c>
      <c r="J507" s="0" t="str">
        <f aca="false">"78-89"</f>
        <v>78-89</v>
      </c>
      <c r="K507" s="0" t="str">
        <f aca="false">"1.21"</f>
        <v>1.21</v>
      </c>
      <c r="L507" s="0" t="str">
        <f aca="false">"11.27"</f>
        <v>11.27</v>
      </c>
      <c r="M507" s="0" t="str">
        <f aca="false">"-147.6"</f>
        <v>-147.6</v>
      </c>
    </row>
    <row r="508" customFormat="false" ht="12.8" hidden="false" customHeight="false" outlineLevel="0" collapsed="false">
      <c r="A508" s="0" t="s">
        <v>8</v>
      </c>
      <c r="B508" s="0" t="s">
        <v>9</v>
      </c>
      <c r="C508" s="0" t="str">
        <f aca="false">"134-145"</f>
        <v>134-145</v>
      </c>
      <c r="D508" s="0" t="s">
        <v>9</v>
      </c>
      <c r="E508" s="0" t="str">
        <f aca="false">"229-240"</f>
        <v>229-240</v>
      </c>
      <c r="F508" s="0" t="s">
        <v>527</v>
      </c>
      <c r="G508" s="0" t="s">
        <v>9</v>
      </c>
      <c r="H508" s="0" t="str">
        <f aca="false">"153-164"</f>
        <v>153-164</v>
      </c>
      <c r="I508" s="0" t="s">
        <v>9</v>
      </c>
      <c r="J508" s="0" t="str">
        <f aca="false">"176-187"</f>
        <v>176-187</v>
      </c>
      <c r="K508" s="0" t="str">
        <f aca="false">"0.95"</f>
        <v>0.95</v>
      </c>
      <c r="L508" s="0" t="str">
        <f aca="false">"9.12"</f>
        <v>9.12</v>
      </c>
      <c r="M508" s="0" t="str">
        <f aca="false">"-156.2"</f>
        <v>-156.2</v>
      </c>
    </row>
    <row r="509" customFormat="false" ht="12.8" hidden="false" customHeight="false" outlineLevel="0" collapsed="false">
      <c r="A509" s="0" t="s">
        <v>8</v>
      </c>
      <c r="B509" s="0" t="s">
        <v>9</v>
      </c>
      <c r="C509" s="0" t="str">
        <f aca="false">"134-145"</f>
        <v>134-145</v>
      </c>
      <c r="D509" s="0" t="s">
        <v>9</v>
      </c>
      <c r="E509" s="0" t="str">
        <f aca="false">"229-240"</f>
        <v>229-240</v>
      </c>
      <c r="F509" s="0" t="s">
        <v>528</v>
      </c>
      <c r="G509" s="0" t="s">
        <v>9</v>
      </c>
      <c r="H509" s="0" t="str">
        <f aca="false">"958-969"</f>
        <v>958-969</v>
      </c>
      <c r="I509" s="0" t="s">
        <v>9</v>
      </c>
      <c r="J509" s="0" t="str">
        <f aca="false">"981-992"</f>
        <v>981-992</v>
      </c>
      <c r="K509" s="0" t="str">
        <f aca="false">"1.16"</f>
        <v>1.16</v>
      </c>
      <c r="L509" s="0" t="str">
        <f aca="false">"9.16"</f>
        <v>9.16</v>
      </c>
      <c r="M509" s="0" t="str">
        <f aca="false">"-161.6"</f>
        <v>-161.6</v>
      </c>
    </row>
    <row r="510" customFormat="false" ht="12.8" hidden="false" customHeight="false" outlineLevel="0" collapsed="false">
      <c r="A510" s="0" t="s">
        <v>8</v>
      </c>
      <c r="B510" s="0" t="s">
        <v>9</v>
      </c>
      <c r="C510" s="0" t="str">
        <f aca="false">"134-145"</f>
        <v>134-145</v>
      </c>
      <c r="D510" s="0" t="s">
        <v>9</v>
      </c>
      <c r="E510" s="0" t="str">
        <f aca="false">"229-240"</f>
        <v>229-240</v>
      </c>
      <c r="F510" s="0" t="s">
        <v>529</v>
      </c>
      <c r="G510" s="0" t="s">
        <v>9</v>
      </c>
      <c r="H510" s="0" t="str">
        <f aca="false">"154-165"</f>
        <v>154-165</v>
      </c>
      <c r="I510" s="0" t="s">
        <v>9</v>
      </c>
      <c r="J510" s="0" t="str">
        <f aca="false">"176-187"</f>
        <v>176-187</v>
      </c>
      <c r="K510" s="0" t="str">
        <f aca="false">"0.44"</f>
        <v>0.44</v>
      </c>
      <c r="L510" s="0" t="str">
        <f aca="false">"8.87"</f>
        <v>8.87</v>
      </c>
      <c r="M510" s="0" t="str">
        <f aca="false">"-153.8"</f>
        <v>-153.8</v>
      </c>
    </row>
    <row r="511" customFormat="false" ht="12.8" hidden="false" customHeight="false" outlineLevel="0" collapsed="false">
      <c r="A511" s="0" t="s">
        <v>8</v>
      </c>
      <c r="B511" s="0" t="s">
        <v>9</v>
      </c>
      <c r="C511" s="0" t="str">
        <f aca="false">"134-145"</f>
        <v>134-145</v>
      </c>
      <c r="D511" s="0" t="s">
        <v>9</v>
      </c>
      <c r="E511" s="0" t="str">
        <f aca="false">"229-240"</f>
        <v>229-240</v>
      </c>
      <c r="F511" s="0" t="s">
        <v>530</v>
      </c>
      <c r="G511" s="0" t="s">
        <v>9</v>
      </c>
      <c r="H511" s="0" t="str">
        <f aca="false">"55-66"</f>
        <v>55-66</v>
      </c>
      <c r="I511" s="0" t="s">
        <v>9</v>
      </c>
      <c r="J511" s="0" t="str">
        <f aca="false">"75-86"</f>
        <v>75-86</v>
      </c>
      <c r="K511" s="0" t="str">
        <f aca="false">"0.73"</f>
        <v>0.73</v>
      </c>
      <c r="L511" s="0" t="str">
        <f aca="false">"8.68"</f>
        <v>8.68</v>
      </c>
      <c r="M511" s="0" t="str">
        <f aca="false">"-146.9"</f>
        <v>-146.9</v>
      </c>
    </row>
    <row r="512" customFormat="false" ht="12.8" hidden="false" customHeight="false" outlineLevel="0" collapsed="false">
      <c r="A512" s="0" t="s">
        <v>8</v>
      </c>
      <c r="B512" s="0" t="s">
        <v>9</v>
      </c>
      <c r="C512" s="0" t="str">
        <f aca="false">"134-145"</f>
        <v>134-145</v>
      </c>
      <c r="D512" s="0" t="s">
        <v>9</v>
      </c>
      <c r="E512" s="0" t="str">
        <f aca="false">"229-240"</f>
        <v>229-240</v>
      </c>
      <c r="F512" s="0" t="s">
        <v>531</v>
      </c>
      <c r="G512" s="0" t="s">
        <v>9</v>
      </c>
      <c r="H512" s="0" t="str">
        <f aca="false">"288-299"</f>
        <v>288-299</v>
      </c>
      <c r="I512" s="0" t="s">
        <v>9</v>
      </c>
      <c r="J512" s="0" t="str">
        <f aca="false">"471-482"</f>
        <v>471-482</v>
      </c>
      <c r="K512" s="0" t="str">
        <f aca="false">"0.70"</f>
        <v>0.70</v>
      </c>
      <c r="L512" s="0" t="str">
        <f aca="false">"8.60"</f>
        <v>8.60</v>
      </c>
      <c r="M512" s="0" t="str">
        <f aca="false">"-156.5"</f>
        <v>-156.5</v>
      </c>
    </row>
    <row r="513" customFormat="false" ht="12.8" hidden="false" customHeight="false" outlineLevel="0" collapsed="false">
      <c r="A513" s="0" t="s">
        <v>8</v>
      </c>
      <c r="B513" s="0" t="s">
        <v>9</v>
      </c>
      <c r="C513" s="0" t="str">
        <f aca="false">"134-145"</f>
        <v>134-145</v>
      </c>
      <c r="D513" s="0" t="s">
        <v>9</v>
      </c>
      <c r="E513" s="0" t="str">
        <f aca="false">"229-240"</f>
        <v>229-240</v>
      </c>
      <c r="F513" s="0" t="s">
        <v>532</v>
      </c>
      <c r="G513" s="0" t="s">
        <v>9</v>
      </c>
      <c r="H513" s="0" t="str">
        <f aca="false">"351-362"</f>
        <v>351-362</v>
      </c>
      <c r="I513" s="0" t="s">
        <v>9</v>
      </c>
      <c r="J513" s="0" t="str">
        <f aca="false">"16-27"</f>
        <v>16-27</v>
      </c>
      <c r="K513" s="0" t="str">
        <f aca="false">"0.97"</f>
        <v>0.97</v>
      </c>
      <c r="L513" s="0" t="str">
        <f aca="false">"9.28"</f>
        <v>9.28</v>
      </c>
      <c r="M513" s="0" t="str">
        <f aca="false">"-153.6"</f>
        <v>-153.6</v>
      </c>
    </row>
    <row r="514" customFormat="false" ht="12.8" hidden="false" customHeight="false" outlineLevel="0" collapsed="false">
      <c r="A514" s="0" t="s">
        <v>8</v>
      </c>
      <c r="B514" s="0" t="s">
        <v>9</v>
      </c>
      <c r="C514" s="0" t="str">
        <f aca="false">"134-145"</f>
        <v>134-145</v>
      </c>
      <c r="D514" s="0" t="s">
        <v>9</v>
      </c>
      <c r="E514" s="0" t="str">
        <f aca="false">"229-240"</f>
        <v>229-240</v>
      </c>
      <c r="F514" s="0" t="s">
        <v>533</v>
      </c>
      <c r="G514" s="0" t="s">
        <v>13</v>
      </c>
      <c r="H514" s="0" t="str">
        <f aca="false">"119-130"</f>
        <v>119-130</v>
      </c>
      <c r="I514" s="0" t="s">
        <v>13</v>
      </c>
      <c r="J514" s="0" t="str">
        <f aca="false">"37-48"</f>
        <v>37-48</v>
      </c>
      <c r="K514" s="0" t="str">
        <f aca="false">"0.94"</f>
        <v>0.94</v>
      </c>
      <c r="L514" s="0" t="str">
        <f aca="false">"8.63"</f>
        <v>8.63</v>
      </c>
      <c r="M514" s="0" t="str">
        <f aca="false">"-164.6"</f>
        <v>-164.6</v>
      </c>
    </row>
    <row r="515" customFormat="false" ht="12.8" hidden="false" customHeight="false" outlineLevel="0" collapsed="false">
      <c r="A515" s="0" t="s">
        <v>8</v>
      </c>
      <c r="B515" s="0" t="s">
        <v>9</v>
      </c>
      <c r="C515" s="0" t="str">
        <f aca="false">"136-147"</f>
        <v>136-147</v>
      </c>
      <c r="D515" s="0" t="s">
        <v>9</v>
      </c>
      <c r="E515" s="0" t="str">
        <f aca="false">"226-237"</f>
        <v>226-237</v>
      </c>
      <c r="F515" s="0" t="s">
        <v>534</v>
      </c>
      <c r="G515" s="0" t="s">
        <v>9</v>
      </c>
      <c r="H515" s="0" t="str">
        <f aca="false">"372-383"</f>
        <v>372-383</v>
      </c>
      <c r="I515" s="0" t="s">
        <v>9</v>
      </c>
      <c r="J515" s="0" t="str">
        <f aca="false">"401-412"</f>
        <v>401-412</v>
      </c>
      <c r="K515" s="0" t="str">
        <f aca="false">"0.72"</f>
        <v>0.72</v>
      </c>
      <c r="L515" s="0" t="str">
        <f aca="false">"9.86"</f>
        <v>9.86</v>
      </c>
      <c r="M515" s="0" t="str">
        <f aca="false">"-157.4"</f>
        <v>-157.4</v>
      </c>
    </row>
    <row r="516" customFormat="false" ht="12.8" hidden="false" customHeight="false" outlineLevel="0" collapsed="false">
      <c r="A516" s="0" t="s">
        <v>8</v>
      </c>
      <c r="B516" s="0" t="s">
        <v>9</v>
      </c>
      <c r="C516" s="0" t="str">
        <f aca="false">"131-142"</f>
        <v>131-142</v>
      </c>
      <c r="D516" s="0" t="s">
        <v>9</v>
      </c>
      <c r="E516" s="0" t="str">
        <f aca="false">"232-243"</f>
        <v>232-243</v>
      </c>
      <c r="F516" s="0" t="s">
        <v>535</v>
      </c>
      <c r="G516" s="0" t="s">
        <v>9</v>
      </c>
      <c r="H516" s="0" t="str">
        <f aca="false">"64-75"</f>
        <v>64-75</v>
      </c>
      <c r="I516" s="0" t="s">
        <v>9</v>
      </c>
      <c r="J516" s="0" t="str">
        <f aca="false">"47-58"</f>
        <v>47-58</v>
      </c>
      <c r="K516" s="0" t="str">
        <f aca="false">"1.04"</f>
        <v>1.04</v>
      </c>
      <c r="L516" s="0" t="str">
        <f aca="false">"9.32"</f>
        <v>9.32</v>
      </c>
      <c r="M516" s="0" t="str">
        <f aca="false">"-170.5"</f>
        <v>-170.5</v>
      </c>
    </row>
    <row r="517" customFormat="false" ht="12.8" hidden="false" customHeight="false" outlineLevel="0" collapsed="false">
      <c r="A517" s="0" t="s">
        <v>8</v>
      </c>
      <c r="B517" s="0" t="s">
        <v>9</v>
      </c>
      <c r="C517" s="0" t="str">
        <f aca="false">"137-148"</f>
        <v>137-148</v>
      </c>
      <c r="D517" s="0" t="s">
        <v>9</v>
      </c>
      <c r="E517" s="0" t="str">
        <f aca="false">"226-237"</f>
        <v>226-237</v>
      </c>
      <c r="F517" s="0" t="s">
        <v>536</v>
      </c>
      <c r="G517" s="0" t="s">
        <v>9</v>
      </c>
      <c r="H517" s="0" t="str">
        <f aca="false">"260-271"</f>
        <v>260-271</v>
      </c>
      <c r="I517" s="0" t="s">
        <v>9</v>
      </c>
      <c r="J517" s="0" t="str">
        <f aca="false">"223-234"</f>
        <v>223-234</v>
      </c>
      <c r="K517" s="0" t="str">
        <f aca="false">"1.02"</f>
        <v>1.02</v>
      </c>
      <c r="L517" s="0" t="str">
        <f aca="false">"8.62"</f>
        <v>8.62</v>
      </c>
      <c r="M517" s="0" t="str">
        <f aca="false">"-156.4"</f>
        <v>-156.4</v>
      </c>
    </row>
    <row r="518" customFormat="false" ht="12.8" hidden="false" customHeight="false" outlineLevel="0" collapsed="false">
      <c r="A518" s="0" t="s">
        <v>8</v>
      </c>
      <c r="B518" s="0" t="s">
        <v>9</v>
      </c>
      <c r="C518" s="0" t="str">
        <f aca="false">"131-142"</f>
        <v>131-142</v>
      </c>
      <c r="D518" s="0" t="s">
        <v>9</v>
      </c>
      <c r="E518" s="0" t="str">
        <f aca="false">"233-244"</f>
        <v>233-244</v>
      </c>
      <c r="F518" s="0" t="s">
        <v>537</v>
      </c>
      <c r="G518" s="0" t="s">
        <v>24</v>
      </c>
      <c r="H518" s="0" t="str">
        <f aca="false">"54-65"</f>
        <v>54-65</v>
      </c>
      <c r="I518" s="0" t="s">
        <v>120</v>
      </c>
      <c r="J518" s="0" t="str">
        <f aca="false">"54-65"</f>
        <v>54-65</v>
      </c>
      <c r="K518" s="0" t="str">
        <f aca="false">"1.15"</f>
        <v>1.15</v>
      </c>
      <c r="L518" s="0" t="str">
        <f aca="false">"8.80"</f>
        <v>8.80</v>
      </c>
      <c r="M518" s="0" t="str">
        <f aca="false">"-164.6"</f>
        <v>-164.6</v>
      </c>
    </row>
    <row r="519" customFormat="false" ht="12.8" hidden="false" customHeight="false" outlineLevel="0" collapsed="false">
      <c r="A519" s="0" t="s">
        <v>8</v>
      </c>
      <c r="B519" s="0" t="s">
        <v>9</v>
      </c>
      <c r="C519" s="0" t="str">
        <f aca="false">"137-148"</f>
        <v>137-148</v>
      </c>
      <c r="D519" s="0" t="s">
        <v>9</v>
      </c>
      <c r="E519" s="0" t="str">
        <f aca="false">"225-236"</f>
        <v>225-236</v>
      </c>
      <c r="F519" s="0" t="s">
        <v>538</v>
      </c>
      <c r="G519" s="0" t="s">
        <v>13</v>
      </c>
      <c r="H519" s="0" t="str">
        <f aca="false">"165-176"</f>
        <v>165-176</v>
      </c>
      <c r="I519" s="0" t="s">
        <v>9</v>
      </c>
      <c r="J519" s="0" t="str">
        <f aca="false">"37-48"</f>
        <v>37-48</v>
      </c>
      <c r="K519" s="0" t="str">
        <f aca="false">"1.17"</f>
        <v>1.17</v>
      </c>
      <c r="L519" s="0" t="str">
        <f aca="false">"8.91"</f>
        <v>8.91</v>
      </c>
      <c r="M519" s="0" t="str">
        <f aca="false">"-163.6"</f>
        <v>-163.6</v>
      </c>
    </row>
    <row r="520" customFormat="false" ht="12.8" hidden="false" customHeight="false" outlineLevel="0" collapsed="false">
      <c r="A520" s="0" t="s">
        <v>8</v>
      </c>
      <c r="B520" s="0" t="s">
        <v>9</v>
      </c>
      <c r="C520" s="0" t="str">
        <f aca="false">"134-145"</f>
        <v>134-145</v>
      </c>
      <c r="D520" s="0" t="s">
        <v>9</v>
      </c>
      <c r="E520" s="0" t="str">
        <f aca="false">"229-240"</f>
        <v>229-240</v>
      </c>
      <c r="F520" s="0" t="s">
        <v>539</v>
      </c>
      <c r="G520" s="0" t="s">
        <v>9</v>
      </c>
      <c r="H520" s="0" t="str">
        <f aca="false">"170-181"</f>
        <v>170-181</v>
      </c>
      <c r="I520" s="0" t="s">
        <v>9</v>
      </c>
      <c r="J520" s="0" t="str">
        <f aca="false">"26-37"</f>
        <v>26-37</v>
      </c>
      <c r="K520" s="0" t="str">
        <f aca="false">"0.97"</f>
        <v>0.97</v>
      </c>
      <c r="L520" s="0" t="str">
        <f aca="false">"10.09"</f>
        <v>10.09</v>
      </c>
      <c r="M520" s="0" t="str">
        <f aca="false">"-164.6"</f>
        <v>-164.6</v>
      </c>
    </row>
    <row r="521" customFormat="false" ht="12.8" hidden="false" customHeight="false" outlineLevel="0" collapsed="false">
      <c r="A521" s="0" t="s">
        <v>8</v>
      </c>
      <c r="B521" s="0" t="s">
        <v>9</v>
      </c>
      <c r="C521" s="0" t="str">
        <f aca="false">"133-144"</f>
        <v>133-144</v>
      </c>
      <c r="D521" s="0" t="s">
        <v>9</v>
      </c>
      <c r="E521" s="0" t="str">
        <f aca="false">"230-241"</f>
        <v>230-241</v>
      </c>
      <c r="F521" s="0" t="s">
        <v>540</v>
      </c>
      <c r="G521" s="0" t="s">
        <v>9</v>
      </c>
      <c r="H521" s="0" t="str">
        <f aca="false">"236-247"</f>
        <v>236-247</v>
      </c>
      <c r="I521" s="0" t="s">
        <v>9</v>
      </c>
      <c r="J521" s="0" t="str">
        <f aca="false">"250-261"</f>
        <v>250-261</v>
      </c>
      <c r="K521" s="0" t="str">
        <f aca="false">"0.95"</f>
        <v>0.95</v>
      </c>
      <c r="L521" s="0" t="str">
        <f aca="false">"9.28"</f>
        <v>9.28</v>
      </c>
      <c r="M521" s="0" t="str">
        <f aca="false">"-165.8"</f>
        <v>-165.8</v>
      </c>
    </row>
    <row r="522" customFormat="false" ht="12.8" hidden="false" customHeight="false" outlineLevel="0" collapsed="false">
      <c r="A522" s="0" t="s">
        <v>8</v>
      </c>
      <c r="B522" s="0" t="s">
        <v>9</v>
      </c>
      <c r="C522" s="0" t="str">
        <f aca="false">"136-147"</f>
        <v>136-147</v>
      </c>
      <c r="D522" s="0" t="s">
        <v>9</v>
      </c>
      <c r="E522" s="0" t="str">
        <f aca="false">"226-237"</f>
        <v>226-237</v>
      </c>
      <c r="F522" s="0" t="s">
        <v>541</v>
      </c>
      <c r="G522" s="0" t="s">
        <v>9</v>
      </c>
      <c r="H522" s="0" t="str">
        <f aca="false">"325-336"</f>
        <v>325-336</v>
      </c>
      <c r="I522" s="0" t="s">
        <v>9</v>
      </c>
      <c r="J522" s="0" t="str">
        <f aca="false">"354-365"</f>
        <v>354-365</v>
      </c>
      <c r="K522" s="0" t="str">
        <f aca="false">"0.49"</f>
        <v>0.49</v>
      </c>
      <c r="L522" s="0" t="str">
        <f aca="false">"9.68"</f>
        <v>9.68</v>
      </c>
      <c r="M522" s="0" t="str">
        <f aca="false">"-155.9"</f>
        <v>-155.9</v>
      </c>
    </row>
    <row r="523" customFormat="false" ht="12.8" hidden="false" customHeight="false" outlineLevel="0" collapsed="false">
      <c r="A523" s="0" t="s">
        <v>8</v>
      </c>
      <c r="B523" s="0" t="s">
        <v>9</v>
      </c>
      <c r="C523" s="0" t="str">
        <f aca="false">"131-142"</f>
        <v>131-142</v>
      </c>
      <c r="D523" s="0" t="s">
        <v>9</v>
      </c>
      <c r="E523" s="0" t="str">
        <f aca="false">"231-242"</f>
        <v>231-242</v>
      </c>
      <c r="F523" s="0" t="s">
        <v>542</v>
      </c>
      <c r="G523" s="0" t="s">
        <v>9</v>
      </c>
      <c r="H523" s="0" t="str">
        <f aca="false">"123-134"</f>
        <v>123-134</v>
      </c>
      <c r="I523" s="0" t="s">
        <v>9</v>
      </c>
      <c r="J523" s="0" t="str">
        <f aca="false">"111-122"</f>
        <v>111-122</v>
      </c>
      <c r="K523" s="0" t="str">
        <f aca="false">"1.05"</f>
        <v>1.05</v>
      </c>
      <c r="L523" s="0" t="str">
        <f aca="false">"9.21"</f>
        <v>9.21</v>
      </c>
      <c r="M523" s="0" t="str">
        <f aca="false">"-162.7"</f>
        <v>-162.7</v>
      </c>
    </row>
    <row r="524" customFormat="false" ht="12.8" hidden="false" customHeight="false" outlineLevel="0" collapsed="false">
      <c r="A524" s="0" t="s">
        <v>8</v>
      </c>
      <c r="B524" s="0" t="s">
        <v>9</v>
      </c>
      <c r="C524" s="0" t="str">
        <f aca="false">"129-140"</f>
        <v>129-140</v>
      </c>
      <c r="D524" s="0" t="s">
        <v>9</v>
      </c>
      <c r="E524" s="0" t="str">
        <f aca="false">"233-244"</f>
        <v>233-244</v>
      </c>
      <c r="F524" s="0" t="s">
        <v>543</v>
      </c>
      <c r="G524" s="0" t="s">
        <v>13</v>
      </c>
      <c r="H524" s="0" t="str">
        <f aca="false">"153-164"</f>
        <v>153-164</v>
      </c>
      <c r="I524" s="0" t="s">
        <v>13</v>
      </c>
      <c r="J524" s="0" t="str">
        <f aca="false">"171-182"</f>
        <v>171-182</v>
      </c>
      <c r="K524" s="0" t="str">
        <f aca="false">"0.68"</f>
        <v>0.68</v>
      </c>
      <c r="L524" s="0" t="str">
        <f aca="false">"9.81"</f>
        <v>9.81</v>
      </c>
      <c r="M524" s="0" t="str">
        <f aca="false">"-163.2"</f>
        <v>-163.2</v>
      </c>
    </row>
    <row r="525" customFormat="false" ht="12.8" hidden="false" customHeight="false" outlineLevel="0" collapsed="false">
      <c r="A525" s="0" t="s">
        <v>8</v>
      </c>
      <c r="B525" s="0" t="s">
        <v>9</v>
      </c>
      <c r="C525" s="0" t="str">
        <f aca="false">"129-140"</f>
        <v>129-140</v>
      </c>
      <c r="D525" s="0" t="s">
        <v>9</v>
      </c>
      <c r="E525" s="0" t="str">
        <f aca="false">"233-244"</f>
        <v>233-244</v>
      </c>
      <c r="F525" s="0" t="s">
        <v>544</v>
      </c>
      <c r="G525" s="0" t="s">
        <v>9</v>
      </c>
      <c r="H525" s="0" t="str">
        <f aca="false">"327-338"</f>
        <v>327-338</v>
      </c>
      <c r="I525" s="0" t="s">
        <v>9</v>
      </c>
      <c r="J525" s="0" t="str">
        <f aca="false">"356-367"</f>
        <v>356-367</v>
      </c>
      <c r="K525" s="0" t="str">
        <f aca="false">"0.62"</f>
        <v>0.62</v>
      </c>
      <c r="L525" s="0" t="str">
        <f aca="false">"9.84"</f>
        <v>9.84</v>
      </c>
      <c r="M525" s="0" t="str">
        <f aca="false">"-160.6"</f>
        <v>-160.6</v>
      </c>
    </row>
    <row r="526" customFormat="false" ht="12.8" hidden="false" customHeight="false" outlineLevel="0" collapsed="false">
      <c r="A526" s="0" t="s">
        <v>8</v>
      </c>
      <c r="B526" s="0" t="s">
        <v>9</v>
      </c>
      <c r="C526" s="0" t="str">
        <f aca="false">"135-146"</f>
        <v>135-146</v>
      </c>
      <c r="D526" s="0" t="s">
        <v>9</v>
      </c>
      <c r="E526" s="0" t="str">
        <f aca="false">"226-237"</f>
        <v>226-237</v>
      </c>
      <c r="F526" s="0" t="s">
        <v>545</v>
      </c>
      <c r="G526" s="0" t="s">
        <v>120</v>
      </c>
      <c r="H526" s="0" t="str">
        <f aca="false">"617-628"</f>
        <v>617-628</v>
      </c>
      <c r="I526" s="0" t="s">
        <v>9</v>
      </c>
      <c r="J526" s="0" t="str">
        <f aca="false">"560-571"</f>
        <v>560-571</v>
      </c>
      <c r="K526" s="0" t="str">
        <f aca="false">"0.69"</f>
        <v>0.69</v>
      </c>
      <c r="L526" s="0" t="str">
        <f aca="false">"9.89"</f>
        <v>9.89</v>
      </c>
      <c r="M526" s="0" t="str">
        <f aca="false">"-163.7"</f>
        <v>-163.7</v>
      </c>
    </row>
    <row r="527" customFormat="false" ht="12.8" hidden="false" customHeight="false" outlineLevel="0" collapsed="false">
      <c r="A527" s="0" t="s">
        <v>8</v>
      </c>
      <c r="B527" s="0" t="s">
        <v>9</v>
      </c>
      <c r="C527" s="0" t="str">
        <f aca="false">"136-147"</f>
        <v>136-147</v>
      </c>
      <c r="D527" s="0" t="s">
        <v>9</v>
      </c>
      <c r="E527" s="0" t="str">
        <f aca="false">"226-237"</f>
        <v>226-237</v>
      </c>
      <c r="F527" s="0" t="s">
        <v>546</v>
      </c>
      <c r="G527" s="0" t="s">
        <v>9</v>
      </c>
      <c r="H527" s="0" t="str">
        <f aca="false">"356-367"</f>
        <v>356-367</v>
      </c>
      <c r="I527" s="0" t="s">
        <v>9</v>
      </c>
      <c r="J527" s="0" t="str">
        <f aca="false">"385-396"</f>
        <v>385-396</v>
      </c>
      <c r="K527" s="0" t="str">
        <f aca="false">"0.52"</f>
        <v>0.52</v>
      </c>
      <c r="L527" s="0" t="str">
        <f aca="false">"9.59"</f>
        <v>9.59</v>
      </c>
      <c r="M527" s="0" t="str">
        <f aca="false">"-161.5"</f>
        <v>-161.5</v>
      </c>
    </row>
    <row r="528" customFormat="false" ht="12.8" hidden="false" customHeight="false" outlineLevel="0" collapsed="false">
      <c r="A528" s="0" t="s">
        <v>8</v>
      </c>
      <c r="B528" s="0" t="s">
        <v>9</v>
      </c>
      <c r="C528" s="0" t="str">
        <f aca="false">"129-140"</f>
        <v>129-140</v>
      </c>
      <c r="D528" s="0" t="s">
        <v>9</v>
      </c>
      <c r="E528" s="0" t="str">
        <f aca="false">"233-244"</f>
        <v>233-244</v>
      </c>
      <c r="F528" s="0" t="s">
        <v>547</v>
      </c>
      <c r="G528" s="0" t="s">
        <v>9</v>
      </c>
      <c r="H528" s="0" t="str">
        <f aca="false">"801-812"</f>
        <v>801-812</v>
      </c>
      <c r="I528" s="0" t="s">
        <v>9</v>
      </c>
      <c r="J528" s="0" t="str">
        <f aca="false">"831-842"</f>
        <v>831-842</v>
      </c>
      <c r="K528" s="0" t="str">
        <f aca="false">"0.94"</f>
        <v>0.94</v>
      </c>
      <c r="L528" s="0" t="str">
        <f aca="false">"10.12"</f>
        <v>10.12</v>
      </c>
      <c r="M528" s="0" t="str">
        <f aca="false">"-166.9"</f>
        <v>-166.9</v>
      </c>
    </row>
    <row r="529" customFormat="false" ht="12.8" hidden="false" customHeight="false" outlineLevel="0" collapsed="false">
      <c r="A529" s="0" t="s">
        <v>8</v>
      </c>
      <c r="B529" s="0" t="s">
        <v>9</v>
      </c>
      <c r="C529" s="0" t="str">
        <f aca="false">"131-142"</f>
        <v>131-142</v>
      </c>
      <c r="D529" s="0" t="s">
        <v>9</v>
      </c>
      <c r="E529" s="0" t="str">
        <f aca="false">"233-244"</f>
        <v>233-244</v>
      </c>
      <c r="F529" s="0" t="s">
        <v>548</v>
      </c>
      <c r="G529" s="0" t="s">
        <v>9</v>
      </c>
      <c r="H529" s="0" t="str">
        <f aca="false">"205-216"</f>
        <v>205-216</v>
      </c>
      <c r="I529" s="0" t="s">
        <v>9</v>
      </c>
      <c r="J529" s="0" t="str">
        <f aca="false">"189-200"</f>
        <v>189-200</v>
      </c>
      <c r="K529" s="0" t="str">
        <f aca="false">"1.11"</f>
        <v>1.11</v>
      </c>
      <c r="L529" s="0" t="str">
        <f aca="false">"9.79"</f>
        <v>9.79</v>
      </c>
      <c r="M529" s="0" t="str">
        <f aca="false">"-154.0"</f>
        <v>-154.0</v>
      </c>
    </row>
    <row r="530" customFormat="false" ht="12.8" hidden="false" customHeight="false" outlineLevel="0" collapsed="false">
      <c r="A530" s="0" t="s">
        <v>8</v>
      </c>
      <c r="B530" s="0" t="s">
        <v>9</v>
      </c>
      <c r="C530" s="0" t="str">
        <f aca="false">"128-139"</f>
        <v>128-139</v>
      </c>
      <c r="D530" s="0" t="s">
        <v>9</v>
      </c>
      <c r="E530" s="0" t="str">
        <f aca="false">"232-243"</f>
        <v>232-243</v>
      </c>
      <c r="F530" s="0" t="s">
        <v>549</v>
      </c>
      <c r="G530" s="0" t="s">
        <v>13</v>
      </c>
      <c r="H530" s="0" t="str">
        <f aca="false">"82-93"</f>
        <v>82-93</v>
      </c>
      <c r="I530" s="0" t="s">
        <v>13</v>
      </c>
      <c r="J530" s="0" t="str">
        <f aca="false">"49-60"</f>
        <v>49-60</v>
      </c>
      <c r="K530" s="0" t="str">
        <f aca="false">"1.07"</f>
        <v>1.07</v>
      </c>
      <c r="L530" s="0" t="str">
        <f aca="false">"9.74"</f>
        <v>9.74</v>
      </c>
      <c r="M530" s="0" t="str">
        <f aca="false">"-151.9"</f>
        <v>-151.9</v>
      </c>
    </row>
    <row r="531" customFormat="false" ht="12.8" hidden="false" customHeight="false" outlineLevel="0" collapsed="false">
      <c r="A531" s="0" t="s">
        <v>8</v>
      </c>
      <c r="B531" s="0" t="s">
        <v>9</v>
      </c>
      <c r="C531" s="0" t="str">
        <f aca="false">"137-148"</f>
        <v>137-148</v>
      </c>
      <c r="D531" s="0" t="s">
        <v>9</v>
      </c>
      <c r="E531" s="0" t="str">
        <f aca="false">"226-237"</f>
        <v>226-237</v>
      </c>
      <c r="F531" s="0" t="s">
        <v>550</v>
      </c>
      <c r="G531" s="0" t="s">
        <v>13</v>
      </c>
      <c r="H531" s="0" t="str">
        <f aca="false">"51-62"</f>
        <v>51-62</v>
      </c>
      <c r="I531" s="0" t="s">
        <v>13</v>
      </c>
      <c r="J531" s="0" t="str">
        <f aca="false">"115-126"</f>
        <v>115-126</v>
      </c>
      <c r="K531" s="0" t="str">
        <f aca="false">"1.13"</f>
        <v>1.13</v>
      </c>
      <c r="L531" s="0" t="str">
        <f aca="false">"8.44"</f>
        <v>8.44</v>
      </c>
      <c r="M531" s="0" t="str">
        <f aca="false">"-166.3"</f>
        <v>-166.3</v>
      </c>
    </row>
    <row r="532" customFormat="false" ht="12.8" hidden="false" customHeight="false" outlineLevel="0" collapsed="false">
      <c r="A532" s="0" t="s">
        <v>8</v>
      </c>
      <c r="B532" s="0" t="s">
        <v>9</v>
      </c>
      <c r="C532" s="0" t="str">
        <f aca="false">"131-142"</f>
        <v>131-142</v>
      </c>
      <c r="D532" s="0" t="s">
        <v>9</v>
      </c>
      <c r="E532" s="0" t="str">
        <f aca="false">"230-241"</f>
        <v>230-241</v>
      </c>
      <c r="F532" s="0" t="s">
        <v>551</v>
      </c>
      <c r="G532" s="0" t="s">
        <v>9</v>
      </c>
      <c r="H532" s="0" t="str">
        <f aca="false">"88-99"</f>
        <v>88-99</v>
      </c>
      <c r="I532" s="0" t="s">
        <v>9</v>
      </c>
      <c r="J532" s="0" t="str">
        <f aca="false">"71-82"</f>
        <v>71-82</v>
      </c>
      <c r="K532" s="0" t="str">
        <f aca="false">"0.98"</f>
        <v>0.98</v>
      </c>
      <c r="L532" s="0" t="str">
        <f aca="false">"10.31"</f>
        <v>10.31</v>
      </c>
      <c r="M532" s="0" t="str">
        <f aca="false">"-176.0"</f>
        <v>-176.0</v>
      </c>
    </row>
    <row r="533" customFormat="false" ht="12.8" hidden="false" customHeight="false" outlineLevel="0" collapsed="false">
      <c r="A533" s="0" t="s">
        <v>8</v>
      </c>
      <c r="B533" s="0" t="s">
        <v>9</v>
      </c>
      <c r="C533" s="0" t="str">
        <f aca="false">"129-140"</f>
        <v>129-140</v>
      </c>
      <c r="D533" s="0" t="s">
        <v>9</v>
      </c>
      <c r="E533" s="0" t="str">
        <f aca="false">"233-244"</f>
        <v>233-244</v>
      </c>
      <c r="F533" s="0" t="s">
        <v>552</v>
      </c>
      <c r="G533" s="0" t="s">
        <v>24</v>
      </c>
      <c r="H533" s="0" t="str">
        <f aca="false">"17-28"</f>
        <v>17-28</v>
      </c>
      <c r="I533" s="0" t="s">
        <v>24</v>
      </c>
      <c r="J533" s="0" t="str">
        <f aca="false">"43-54"</f>
        <v>43-54</v>
      </c>
      <c r="K533" s="0" t="str">
        <f aca="false">"1.00"</f>
        <v>1.00</v>
      </c>
      <c r="L533" s="0" t="str">
        <f aca="false">"10.54"</f>
        <v>10.54</v>
      </c>
      <c r="M533" s="0" t="str">
        <f aca="false">"-171.1"</f>
        <v>-171.1</v>
      </c>
    </row>
    <row r="534" customFormat="false" ht="12.8" hidden="false" customHeight="false" outlineLevel="0" collapsed="false">
      <c r="A534" s="0" t="s">
        <v>8</v>
      </c>
      <c r="B534" s="0" t="s">
        <v>9</v>
      </c>
      <c r="C534" s="0" t="str">
        <f aca="false">"134-145"</f>
        <v>134-145</v>
      </c>
      <c r="D534" s="0" t="s">
        <v>9</v>
      </c>
      <c r="E534" s="0" t="str">
        <f aca="false">"229-240"</f>
        <v>229-240</v>
      </c>
      <c r="F534" s="0" t="s">
        <v>553</v>
      </c>
      <c r="G534" s="0" t="s">
        <v>13</v>
      </c>
      <c r="H534" s="0" t="str">
        <f aca="false">"343-354"</f>
        <v>343-354</v>
      </c>
      <c r="I534" s="0" t="s">
        <v>13</v>
      </c>
      <c r="J534" s="0" t="str">
        <f aca="false">"287-298"</f>
        <v>287-298</v>
      </c>
      <c r="K534" s="0" t="str">
        <f aca="false">"0.88"</f>
        <v>0.88</v>
      </c>
      <c r="L534" s="0" t="str">
        <f aca="false">"9.32"</f>
        <v>9.32</v>
      </c>
      <c r="M534" s="0" t="str">
        <f aca="false">"-164.1"</f>
        <v>-164.1</v>
      </c>
    </row>
    <row r="535" customFormat="false" ht="12.8" hidden="false" customHeight="false" outlineLevel="0" collapsed="false">
      <c r="A535" s="0" t="s">
        <v>8</v>
      </c>
      <c r="B535" s="0" t="s">
        <v>9</v>
      </c>
      <c r="C535" s="0" t="str">
        <f aca="false">"130-141"</f>
        <v>130-141</v>
      </c>
      <c r="D535" s="0" t="s">
        <v>9</v>
      </c>
      <c r="E535" s="0" t="str">
        <f aca="false">"233-244"</f>
        <v>233-244</v>
      </c>
      <c r="F535" s="0" t="s">
        <v>554</v>
      </c>
      <c r="G535" s="0" t="s">
        <v>9</v>
      </c>
      <c r="H535" s="0" t="str">
        <f aca="false">"16-27"</f>
        <v>16-27</v>
      </c>
      <c r="I535" s="0" t="s">
        <v>9</v>
      </c>
      <c r="J535" s="0" t="str">
        <f aca="false">"127-138"</f>
        <v>127-138</v>
      </c>
      <c r="K535" s="0" t="str">
        <f aca="false">"0.88"</f>
        <v>0.88</v>
      </c>
      <c r="L535" s="0" t="str">
        <f aca="false">"10.28"</f>
        <v>10.28</v>
      </c>
      <c r="M535" s="0" t="str">
        <f aca="false">"-173.5"</f>
        <v>-173.5</v>
      </c>
    </row>
    <row r="536" customFormat="false" ht="12.8" hidden="false" customHeight="false" outlineLevel="0" collapsed="false">
      <c r="A536" s="0" t="s">
        <v>8</v>
      </c>
      <c r="B536" s="0" t="s">
        <v>9</v>
      </c>
      <c r="C536" s="0" t="str">
        <f aca="false">"133-144"</f>
        <v>133-144</v>
      </c>
      <c r="D536" s="0" t="s">
        <v>9</v>
      </c>
      <c r="E536" s="0" t="str">
        <f aca="false">"231-242"</f>
        <v>231-242</v>
      </c>
      <c r="F536" s="0" t="s">
        <v>555</v>
      </c>
      <c r="G536" s="0" t="s">
        <v>9</v>
      </c>
      <c r="H536" s="0" t="str">
        <f aca="false">"200-211"</f>
        <v>200-211</v>
      </c>
      <c r="I536" s="0" t="s">
        <v>9</v>
      </c>
      <c r="J536" s="0" t="str">
        <f aca="false">"184-195"</f>
        <v>184-195</v>
      </c>
      <c r="K536" s="0" t="str">
        <f aca="false">"1.14"</f>
        <v>1.14</v>
      </c>
      <c r="L536" s="0" t="str">
        <f aca="false">"9.67"</f>
        <v>9.67</v>
      </c>
      <c r="M536" s="0" t="str">
        <f aca="false">"-163.6"</f>
        <v>-163.6</v>
      </c>
    </row>
    <row r="537" customFormat="false" ht="12.8" hidden="false" customHeight="false" outlineLevel="0" collapsed="false">
      <c r="A537" s="0" t="s">
        <v>8</v>
      </c>
      <c r="B537" s="0" t="s">
        <v>9</v>
      </c>
      <c r="C537" s="0" t="str">
        <f aca="false">"130-141"</f>
        <v>130-141</v>
      </c>
      <c r="D537" s="0" t="s">
        <v>9</v>
      </c>
      <c r="E537" s="0" t="str">
        <f aca="false">"233-244"</f>
        <v>233-244</v>
      </c>
      <c r="F537" s="0" t="s">
        <v>556</v>
      </c>
      <c r="G537" s="0" t="s">
        <v>13</v>
      </c>
      <c r="H537" s="0" t="str">
        <f aca="false">"344-355"</f>
        <v>344-355</v>
      </c>
      <c r="I537" s="0" t="s">
        <v>13</v>
      </c>
      <c r="J537" s="0" t="str">
        <f aca="false">"420-431"</f>
        <v>420-431</v>
      </c>
      <c r="K537" s="0" t="str">
        <f aca="false">"0.82"</f>
        <v>0.82</v>
      </c>
      <c r="L537" s="0" t="str">
        <f aca="false">"10.26"</f>
        <v>10.26</v>
      </c>
      <c r="M537" s="0" t="str">
        <f aca="false">"-167.5"</f>
        <v>-167.5</v>
      </c>
    </row>
    <row r="538" customFormat="false" ht="12.8" hidden="false" customHeight="false" outlineLevel="0" collapsed="false">
      <c r="A538" s="0" t="s">
        <v>8</v>
      </c>
      <c r="B538" s="0" t="s">
        <v>9</v>
      </c>
      <c r="C538" s="0" t="str">
        <f aca="false">"131-142"</f>
        <v>131-142</v>
      </c>
      <c r="D538" s="0" t="s">
        <v>9</v>
      </c>
      <c r="E538" s="0" t="str">
        <f aca="false">"232-243"</f>
        <v>232-243</v>
      </c>
      <c r="F538" s="0" t="s">
        <v>557</v>
      </c>
      <c r="G538" s="0" t="s">
        <v>9</v>
      </c>
      <c r="H538" s="0" t="str">
        <f aca="false">"380-391"</f>
        <v>380-391</v>
      </c>
      <c r="I538" s="0" t="s">
        <v>9</v>
      </c>
      <c r="J538" s="0" t="str">
        <f aca="false">"314-325"</f>
        <v>314-325</v>
      </c>
      <c r="K538" s="0" t="str">
        <f aca="false">"0.57"</f>
        <v>0.57</v>
      </c>
      <c r="L538" s="0" t="str">
        <f aca="false">"10.51"</f>
        <v>10.51</v>
      </c>
      <c r="M538" s="0" t="str">
        <f aca="false">"-158.1"</f>
        <v>-158.1</v>
      </c>
    </row>
    <row r="539" customFormat="false" ht="12.8" hidden="false" customHeight="false" outlineLevel="0" collapsed="false">
      <c r="A539" s="0" t="s">
        <v>8</v>
      </c>
      <c r="B539" s="0" t="s">
        <v>9</v>
      </c>
      <c r="C539" s="0" t="str">
        <f aca="false">"133-144"</f>
        <v>133-144</v>
      </c>
      <c r="D539" s="0" t="s">
        <v>9</v>
      </c>
      <c r="E539" s="0" t="str">
        <f aca="false">"229-240"</f>
        <v>229-240</v>
      </c>
      <c r="F539" s="0" t="s">
        <v>558</v>
      </c>
      <c r="G539" s="0" t="s">
        <v>9</v>
      </c>
      <c r="H539" s="0" t="str">
        <f aca="false">"818-829"</f>
        <v>818-829</v>
      </c>
      <c r="I539" s="0" t="s">
        <v>9</v>
      </c>
      <c r="J539" s="0" t="str">
        <f aca="false">"945-956"</f>
        <v>945-956</v>
      </c>
      <c r="K539" s="0" t="str">
        <f aca="false">"1.17"</f>
        <v>1.17</v>
      </c>
      <c r="L539" s="0" t="str">
        <f aca="false">"9.43"</f>
        <v>9.43</v>
      </c>
      <c r="M539" s="0" t="str">
        <f aca="false">"-173.2"</f>
        <v>-173.2</v>
      </c>
    </row>
    <row r="540" customFormat="false" ht="12.8" hidden="false" customHeight="false" outlineLevel="0" collapsed="false">
      <c r="A540" s="0" t="s">
        <v>8</v>
      </c>
      <c r="B540" s="0" t="s">
        <v>9</v>
      </c>
      <c r="C540" s="0" t="str">
        <f aca="false">"137-148"</f>
        <v>137-148</v>
      </c>
      <c r="D540" s="0" t="s">
        <v>9</v>
      </c>
      <c r="E540" s="0" t="str">
        <f aca="false">"226-237"</f>
        <v>226-237</v>
      </c>
      <c r="F540" s="0" t="s">
        <v>559</v>
      </c>
      <c r="G540" s="0" t="s">
        <v>9</v>
      </c>
      <c r="H540" s="0" t="str">
        <f aca="false">"139-150"</f>
        <v>139-150</v>
      </c>
      <c r="I540" s="0" t="s">
        <v>9</v>
      </c>
      <c r="J540" s="0" t="str">
        <f aca="false">"124-135"</f>
        <v>124-135</v>
      </c>
      <c r="K540" s="0" t="str">
        <f aca="false">"1.19"</f>
        <v>1.19</v>
      </c>
      <c r="L540" s="0" t="str">
        <f aca="false">"9.02"</f>
        <v>9.02</v>
      </c>
      <c r="M540" s="0" t="str">
        <f aca="false">"-166.0"</f>
        <v>-166.0</v>
      </c>
    </row>
    <row r="541" customFormat="false" ht="12.8" hidden="false" customHeight="false" outlineLevel="0" collapsed="false">
      <c r="A541" s="0" t="s">
        <v>8</v>
      </c>
      <c r="B541" s="0" t="s">
        <v>9</v>
      </c>
      <c r="C541" s="0" t="str">
        <f aca="false">"135-146"</f>
        <v>135-146</v>
      </c>
      <c r="D541" s="0" t="s">
        <v>9</v>
      </c>
      <c r="E541" s="0" t="str">
        <f aca="false">"225-236"</f>
        <v>225-236</v>
      </c>
      <c r="F541" s="0" t="s">
        <v>560</v>
      </c>
      <c r="G541" s="0" t="s">
        <v>9</v>
      </c>
      <c r="H541" s="0" t="str">
        <f aca="false">"118-129"</f>
        <v>118-129</v>
      </c>
      <c r="I541" s="0" t="s">
        <v>9</v>
      </c>
      <c r="J541" s="0" t="str">
        <f aca="false">"90-101"</f>
        <v>90-101</v>
      </c>
      <c r="K541" s="0" t="str">
        <f aca="false">"0.88"</f>
        <v>0.88</v>
      </c>
      <c r="L541" s="0" t="str">
        <f aca="false">"10.19"</f>
        <v>10.19</v>
      </c>
      <c r="M541" s="0" t="str">
        <f aca="false">"-144.3"</f>
        <v>-144.3</v>
      </c>
    </row>
    <row r="542" customFormat="false" ht="12.8" hidden="false" customHeight="false" outlineLevel="0" collapsed="false">
      <c r="A542" s="0" t="s">
        <v>8</v>
      </c>
      <c r="B542" s="0" t="s">
        <v>9</v>
      </c>
      <c r="C542" s="0" t="str">
        <f aca="false">"134-145"</f>
        <v>134-145</v>
      </c>
      <c r="D542" s="0" t="s">
        <v>9</v>
      </c>
      <c r="E542" s="0" t="str">
        <f aca="false">"229-240"</f>
        <v>229-240</v>
      </c>
      <c r="F542" s="0" t="s">
        <v>561</v>
      </c>
      <c r="G542" s="0" t="s">
        <v>13</v>
      </c>
      <c r="H542" s="0" t="str">
        <f aca="false">"101-112"</f>
        <v>101-112</v>
      </c>
      <c r="I542" s="0" t="s">
        <v>13</v>
      </c>
      <c r="J542" s="0" t="str">
        <f aca="false">"125-136"</f>
        <v>125-136</v>
      </c>
      <c r="K542" s="0" t="str">
        <f aca="false">"1.16"</f>
        <v>1.16</v>
      </c>
      <c r="L542" s="0" t="str">
        <f aca="false">"10.14"</f>
        <v>10.14</v>
      </c>
      <c r="M542" s="0" t="str">
        <f aca="false">"-148.2"</f>
        <v>-148.2</v>
      </c>
    </row>
    <row r="543" customFormat="false" ht="12.8" hidden="false" customHeight="false" outlineLevel="0" collapsed="false">
      <c r="A543" s="0" t="s">
        <v>8</v>
      </c>
      <c r="B543" s="0" t="s">
        <v>9</v>
      </c>
      <c r="C543" s="0" t="str">
        <f aca="false">"134-145"</f>
        <v>134-145</v>
      </c>
      <c r="D543" s="0" t="s">
        <v>9</v>
      </c>
      <c r="E543" s="0" t="str">
        <f aca="false">"226-237"</f>
        <v>226-237</v>
      </c>
      <c r="F543" s="0" t="s">
        <v>562</v>
      </c>
      <c r="G543" s="0" t="s">
        <v>9</v>
      </c>
      <c r="H543" s="0" t="str">
        <f aca="false">"127-138"</f>
        <v>127-138</v>
      </c>
      <c r="I543" s="0" t="s">
        <v>13</v>
      </c>
      <c r="J543" s="0" t="str">
        <f aca="false">"128-139"</f>
        <v>128-139</v>
      </c>
      <c r="K543" s="0" t="str">
        <f aca="false">"1.14"</f>
        <v>1.14</v>
      </c>
      <c r="L543" s="0" t="str">
        <f aca="false">"9.41"</f>
        <v>9.41</v>
      </c>
      <c r="M543" s="0" t="str">
        <f aca="false">"-134.2"</f>
        <v>-134.2</v>
      </c>
    </row>
    <row r="544" customFormat="false" ht="12.8" hidden="false" customHeight="false" outlineLevel="0" collapsed="false">
      <c r="A544" s="0" t="s">
        <v>8</v>
      </c>
      <c r="B544" s="0" t="s">
        <v>9</v>
      </c>
      <c r="C544" s="0" t="str">
        <f aca="false">"134-145"</f>
        <v>134-145</v>
      </c>
      <c r="D544" s="0" t="s">
        <v>9</v>
      </c>
      <c r="E544" s="0" t="str">
        <f aca="false">"229-240"</f>
        <v>229-240</v>
      </c>
      <c r="F544" s="0" t="s">
        <v>563</v>
      </c>
      <c r="G544" s="0" t="s">
        <v>9</v>
      </c>
      <c r="H544" s="0" t="str">
        <f aca="false">"323-334"</f>
        <v>323-334</v>
      </c>
      <c r="I544" s="0" t="s">
        <v>9</v>
      </c>
      <c r="J544" s="0" t="str">
        <f aca="false">"343-354"</f>
        <v>343-354</v>
      </c>
      <c r="K544" s="0" t="str">
        <f aca="false">"0.68"</f>
        <v>0.68</v>
      </c>
      <c r="L544" s="0" t="str">
        <f aca="false">"9.56"</f>
        <v>9.56</v>
      </c>
      <c r="M544" s="0" t="str">
        <f aca="false">"-153.6"</f>
        <v>-153.6</v>
      </c>
    </row>
    <row r="545" customFormat="false" ht="12.8" hidden="false" customHeight="false" outlineLevel="0" collapsed="false">
      <c r="A545" s="0" t="s">
        <v>8</v>
      </c>
      <c r="B545" s="0" t="s">
        <v>9</v>
      </c>
      <c r="C545" s="0" t="str">
        <f aca="false">"134-145"</f>
        <v>134-145</v>
      </c>
      <c r="D545" s="0" t="s">
        <v>9</v>
      </c>
      <c r="E545" s="0" t="str">
        <f aca="false">"229-240"</f>
        <v>229-240</v>
      </c>
      <c r="F545" s="0" t="s">
        <v>564</v>
      </c>
      <c r="G545" s="0" t="s">
        <v>9</v>
      </c>
      <c r="H545" s="0" t="str">
        <f aca="false">"148-159"</f>
        <v>148-159</v>
      </c>
      <c r="I545" s="0" t="s">
        <v>9</v>
      </c>
      <c r="J545" s="0" t="str">
        <f aca="false">"168-179"</f>
        <v>168-179</v>
      </c>
      <c r="K545" s="0" t="str">
        <f aca="false">"0.83"</f>
        <v>0.83</v>
      </c>
      <c r="L545" s="0" t="str">
        <f aca="false">"10.03"</f>
        <v>10.03</v>
      </c>
      <c r="M545" s="0" t="str">
        <f aca="false">"-154.3"</f>
        <v>-154.3</v>
      </c>
    </row>
    <row r="546" customFormat="false" ht="12.8" hidden="false" customHeight="false" outlineLevel="0" collapsed="false">
      <c r="A546" s="0" t="s">
        <v>8</v>
      </c>
      <c r="B546" s="0" t="s">
        <v>9</v>
      </c>
      <c r="C546" s="0" t="str">
        <f aca="false">"134-145"</f>
        <v>134-145</v>
      </c>
      <c r="D546" s="0" t="s">
        <v>9</v>
      </c>
      <c r="E546" s="0" t="str">
        <f aca="false">"229-240"</f>
        <v>229-240</v>
      </c>
      <c r="F546" s="0" t="s">
        <v>565</v>
      </c>
      <c r="G546" s="0" t="s">
        <v>236</v>
      </c>
      <c r="H546" s="0" t="str">
        <f aca="false">"148-159"</f>
        <v>148-159</v>
      </c>
      <c r="I546" s="0" t="s">
        <v>236</v>
      </c>
      <c r="J546" s="0" t="str">
        <f aca="false">"179-190"</f>
        <v>179-190</v>
      </c>
      <c r="K546" s="0" t="str">
        <f aca="false">"1.07"</f>
        <v>1.07</v>
      </c>
      <c r="L546" s="0" t="str">
        <f aca="false">"10.01"</f>
        <v>10.01</v>
      </c>
      <c r="M546" s="0" t="str">
        <f aca="false">"-166.5"</f>
        <v>-166.5</v>
      </c>
    </row>
    <row r="547" customFormat="false" ht="12.8" hidden="false" customHeight="false" outlineLevel="0" collapsed="false">
      <c r="A547" s="0" t="s">
        <v>8</v>
      </c>
      <c r="B547" s="0" t="s">
        <v>9</v>
      </c>
      <c r="C547" s="0" t="str">
        <f aca="false">"134-145"</f>
        <v>134-145</v>
      </c>
      <c r="D547" s="0" t="s">
        <v>9</v>
      </c>
      <c r="E547" s="0" t="str">
        <f aca="false">"229-240"</f>
        <v>229-240</v>
      </c>
      <c r="F547" s="0" t="s">
        <v>566</v>
      </c>
      <c r="G547" s="0" t="s">
        <v>9</v>
      </c>
      <c r="H547" s="0" t="str">
        <f aca="false">"20-31"</f>
        <v>20-31</v>
      </c>
      <c r="I547" s="0" t="s">
        <v>9</v>
      </c>
      <c r="J547" s="0" t="str">
        <f aca="false">"40-51"</f>
        <v>40-51</v>
      </c>
      <c r="K547" s="0" t="str">
        <f aca="false">"0.77"</f>
        <v>0.77</v>
      </c>
      <c r="L547" s="0" t="str">
        <f aca="false">"9.48"</f>
        <v>9.48</v>
      </c>
      <c r="M547" s="0" t="str">
        <f aca="false">"-157.4"</f>
        <v>-157.4</v>
      </c>
    </row>
    <row r="548" customFormat="false" ht="12.8" hidden="false" customHeight="false" outlineLevel="0" collapsed="false">
      <c r="A548" s="0" t="s">
        <v>8</v>
      </c>
      <c r="B548" s="0" t="s">
        <v>9</v>
      </c>
      <c r="C548" s="0" t="str">
        <f aca="false">"134-145"</f>
        <v>134-145</v>
      </c>
      <c r="D548" s="0" t="s">
        <v>9</v>
      </c>
      <c r="E548" s="0" t="str">
        <f aca="false">"229-240"</f>
        <v>229-240</v>
      </c>
      <c r="F548" s="0" t="s">
        <v>567</v>
      </c>
      <c r="G548" s="0" t="s">
        <v>120</v>
      </c>
      <c r="H548" s="0" t="str">
        <f aca="false">"59-70"</f>
        <v>59-70</v>
      </c>
      <c r="I548" s="0" t="s">
        <v>120</v>
      </c>
      <c r="J548" s="0" t="str">
        <f aca="false">"9-20"</f>
        <v>9-20</v>
      </c>
      <c r="K548" s="0" t="str">
        <f aca="false">"1.01"</f>
        <v>1.01</v>
      </c>
      <c r="L548" s="0" t="str">
        <f aca="false">"10.21"</f>
        <v>10.21</v>
      </c>
      <c r="M548" s="0" t="str">
        <f aca="false">"-161.3"</f>
        <v>-161.3</v>
      </c>
    </row>
    <row r="549" customFormat="false" ht="12.8" hidden="false" customHeight="false" outlineLevel="0" collapsed="false">
      <c r="A549" s="0" t="s">
        <v>8</v>
      </c>
      <c r="B549" s="0" t="s">
        <v>9</v>
      </c>
      <c r="C549" s="0" t="str">
        <f aca="false">"134-145"</f>
        <v>134-145</v>
      </c>
      <c r="D549" s="0" t="s">
        <v>9</v>
      </c>
      <c r="E549" s="0" t="str">
        <f aca="false">"229-240"</f>
        <v>229-240</v>
      </c>
      <c r="F549" s="0" t="s">
        <v>568</v>
      </c>
      <c r="G549" s="0" t="s">
        <v>9</v>
      </c>
      <c r="H549" s="0" t="str">
        <f aca="false">"977-988"</f>
        <v>977-988</v>
      </c>
      <c r="I549" s="0" t="s">
        <v>9</v>
      </c>
      <c r="J549" s="0" t="str">
        <f aca="false">"1033-1044"</f>
        <v>1033-1044</v>
      </c>
      <c r="K549" s="0" t="str">
        <f aca="false">"0.75"</f>
        <v>0.75</v>
      </c>
      <c r="L549" s="0" t="str">
        <f aca="false">"9.35"</f>
        <v>9.35</v>
      </c>
      <c r="M549" s="0" t="str">
        <f aca="false">"-153.6"</f>
        <v>-153.6</v>
      </c>
    </row>
    <row r="550" customFormat="false" ht="12.8" hidden="false" customHeight="false" outlineLevel="0" collapsed="false">
      <c r="A550" s="0" t="s">
        <v>8</v>
      </c>
      <c r="B550" s="0" t="s">
        <v>9</v>
      </c>
      <c r="C550" s="0" t="str">
        <f aca="false">"134-145"</f>
        <v>134-145</v>
      </c>
      <c r="D550" s="0" t="s">
        <v>9</v>
      </c>
      <c r="E550" s="0" t="str">
        <f aca="false">"229-240"</f>
        <v>229-240</v>
      </c>
      <c r="F550" s="0" t="s">
        <v>569</v>
      </c>
      <c r="G550" s="0" t="s">
        <v>9</v>
      </c>
      <c r="H550" s="0" t="str">
        <f aca="false">"20-31"</f>
        <v>20-31</v>
      </c>
      <c r="I550" s="0" t="s">
        <v>9</v>
      </c>
      <c r="J550" s="0" t="str">
        <f aca="false">"40-51"</f>
        <v>40-51</v>
      </c>
      <c r="K550" s="0" t="str">
        <f aca="false">"0.81"</f>
        <v>0.81</v>
      </c>
      <c r="L550" s="0" t="str">
        <f aca="false">"9.39"</f>
        <v>9.39</v>
      </c>
      <c r="M550" s="0" t="str">
        <f aca="false">"-151.6"</f>
        <v>-151.6</v>
      </c>
    </row>
    <row r="551" customFormat="false" ht="12.8" hidden="false" customHeight="false" outlineLevel="0" collapsed="false">
      <c r="A551" s="0" t="s">
        <v>8</v>
      </c>
      <c r="B551" s="0" t="s">
        <v>9</v>
      </c>
      <c r="C551" s="0" t="str">
        <f aca="false">"134-145"</f>
        <v>134-145</v>
      </c>
      <c r="D551" s="0" t="s">
        <v>9</v>
      </c>
      <c r="E551" s="0" t="str">
        <f aca="false">"228-239"</f>
        <v>228-239</v>
      </c>
      <c r="F551" s="0" t="s">
        <v>570</v>
      </c>
      <c r="G551" s="0" t="s">
        <v>9</v>
      </c>
      <c r="H551" s="0" t="str">
        <f aca="false">"53-64"</f>
        <v>53-64</v>
      </c>
      <c r="I551" s="0" t="s">
        <v>9</v>
      </c>
      <c r="J551" s="0" t="str">
        <f aca="false">"72-83"</f>
        <v>72-83</v>
      </c>
      <c r="K551" s="0" t="str">
        <f aca="false">"0.82"</f>
        <v>0.82</v>
      </c>
      <c r="L551" s="0" t="str">
        <f aca="false">"9.89"</f>
        <v>9.89</v>
      </c>
      <c r="M551" s="0" t="str">
        <f aca="false">"-158.7"</f>
        <v>-158.7</v>
      </c>
    </row>
    <row r="552" customFormat="false" ht="12.8" hidden="false" customHeight="false" outlineLevel="0" collapsed="false">
      <c r="A552" s="0" t="s">
        <v>8</v>
      </c>
      <c r="B552" s="0" t="s">
        <v>9</v>
      </c>
      <c r="C552" s="0" t="str">
        <f aca="false">"134-145"</f>
        <v>134-145</v>
      </c>
      <c r="D552" s="0" t="s">
        <v>9</v>
      </c>
      <c r="E552" s="0" t="str">
        <f aca="false">"227-238"</f>
        <v>227-238</v>
      </c>
      <c r="F552" s="0" t="s">
        <v>571</v>
      </c>
      <c r="G552" s="0" t="s">
        <v>120</v>
      </c>
      <c r="H552" s="0" t="str">
        <f aca="false">"546-557"</f>
        <v>546-557</v>
      </c>
      <c r="I552" s="0" t="s">
        <v>120</v>
      </c>
      <c r="J552" s="0" t="str">
        <f aca="false">"571-582"</f>
        <v>571-582</v>
      </c>
      <c r="K552" s="0" t="str">
        <f aca="false">"0.94"</f>
        <v>0.94</v>
      </c>
      <c r="L552" s="0" t="str">
        <f aca="false">"9.90"</f>
        <v>9.90</v>
      </c>
      <c r="M552" s="0" t="str">
        <f aca="false">"-161.9"</f>
        <v>-161.9</v>
      </c>
    </row>
    <row r="553" customFormat="false" ht="12.8" hidden="false" customHeight="false" outlineLevel="0" collapsed="false">
      <c r="A553" s="0" t="s">
        <v>8</v>
      </c>
      <c r="B553" s="0" t="s">
        <v>9</v>
      </c>
      <c r="C553" s="0" t="str">
        <f aca="false">"134-145"</f>
        <v>134-145</v>
      </c>
      <c r="D553" s="0" t="s">
        <v>9</v>
      </c>
      <c r="E553" s="0" t="str">
        <f aca="false">"229-240"</f>
        <v>229-240</v>
      </c>
      <c r="F553" s="0" t="s">
        <v>572</v>
      </c>
      <c r="G553" s="0" t="s">
        <v>9</v>
      </c>
      <c r="H553" s="0" t="str">
        <f aca="false">"92-103"</f>
        <v>92-103</v>
      </c>
      <c r="I553" s="0" t="s">
        <v>9</v>
      </c>
      <c r="J553" s="0" t="str">
        <f aca="false">"204-215"</f>
        <v>204-215</v>
      </c>
      <c r="K553" s="0" t="str">
        <f aca="false">"1.01"</f>
        <v>1.01</v>
      </c>
      <c r="L553" s="0" t="str">
        <f aca="false">"9.14"</f>
        <v>9.14</v>
      </c>
      <c r="M553" s="0" t="str">
        <f aca="false">"-172.4"</f>
        <v>-172.4</v>
      </c>
    </row>
    <row r="554" customFormat="false" ht="12.8" hidden="false" customHeight="false" outlineLevel="0" collapsed="false">
      <c r="A554" s="0" t="s">
        <v>8</v>
      </c>
      <c r="B554" s="0" t="s">
        <v>9</v>
      </c>
      <c r="C554" s="0" t="str">
        <f aca="false">"134-145"</f>
        <v>134-145</v>
      </c>
      <c r="D554" s="0" t="s">
        <v>9</v>
      </c>
      <c r="E554" s="0" t="str">
        <f aca="false">"229-240"</f>
        <v>229-240</v>
      </c>
      <c r="F554" s="0" t="s">
        <v>573</v>
      </c>
      <c r="G554" s="0" t="s">
        <v>9</v>
      </c>
      <c r="H554" s="0" t="str">
        <f aca="false">"479-490"</f>
        <v>479-490</v>
      </c>
      <c r="I554" s="0" t="s">
        <v>9</v>
      </c>
      <c r="J554" s="0" t="str">
        <f aca="false">"444-455"</f>
        <v>444-455</v>
      </c>
      <c r="K554" s="0" t="str">
        <f aca="false">"1.24"</f>
        <v>1.24</v>
      </c>
      <c r="L554" s="0" t="str">
        <f aca="false">"10.33"</f>
        <v>10.33</v>
      </c>
      <c r="M554" s="0" t="str">
        <f aca="false">"-177.1"</f>
        <v>-177.1</v>
      </c>
    </row>
    <row r="555" customFormat="false" ht="12.8" hidden="false" customHeight="false" outlineLevel="0" collapsed="false">
      <c r="A555" s="0" t="s">
        <v>8</v>
      </c>
      <c r="B555" s="0" t="s">
        <v>9</v>
      </c>
      <c r="C555" s="0" t="str">
        <f aca="false">"134-145"</f>
        <v>134-145</v>
      </c>
      <c r="D555" s="0" t="s">
        <v>9</v>
      </c>
      <c r="E555" s="0" t="str">
        <f aca="false">"227-238"</f>
        <v>227-238</v>
      </c>
      <c r="F555" s="0" t="s">
        <v>574</v>
      </c>
      <c r="G555" s="0" t="s">
        <v>9</v>
      </c>
      <c r="H555" s="0" t="str">
        <f aca="false">"151-162"</f>
        <v>151-162</v>
      </c>
      <c r="I555" s="0" t="s">
        <v>9</v>
      </c>
      <c r="J555" s="0" t="str">
        <f aca="false">"90-101"</f>
        <v>90-101</v>
      </c>
      <c r="K555" s="0" t="str">
        <f aca="false">"0.99"</f>
        <v>0.99</v>
      </c>
      <c r="L555" s="0" t="str">
        <f aca="false">"9.61"</f>
        <v>9.61</v>
      </c>
      <c r="M555" s="0" t="str">
        <f aca="false">"-142.8"</f>
        <v>-142.8</v>
      </c>
    </row>
    <row r="556" customFormat="false" ht="12.8" hidden="false" customHeight="false" outlineLevel="0" collapsed="false">
      <c r="A556" s="0" t="s">
        <v>8</v>
      </c>
      <c r="B556" s="0" t="s">
        <v>9</v>
      </c>
      <c r="C556" s="0" t="str">
        <f aca="false">"134-145"</f>
        <v>134-145</v>
      </c>
      <c r="D556" s="0" t="s">
        <v>9</v>
      </c>
      <c r="E556" s="0" t="str">
        <f aca="false">"229-240"</f>
        <v>229-240</v>
      </c>
      <c r="F556" s="0" t="s">
        <v>575</v>
      </c>
      <c r="G556" s="0" t="s">
        <v>9</v>
      </c>
      <c r="H556" s="0" t="str">
        <f aca="false">"216-227"</f>
        <v>216-227</v>
      </c>
      <c r="I556" s="0" t="s">
        <v>9</v>
      </c>
      <c r="J556" s="0" t="str">
        <f aca="false">"236-247"</f>
        <v>236-247</v>
      </c>
      <c r="K556" s="0" t="str">
        <f aca="false">"1.18"</f>
        <v>1.18</v>
      </c>
      <c r="L556" s="0" t="str">
        <f aca="false">"9.57"</f>
        <v>9.57</v>
      </c>
      <c r="M556" s="0" t="str">
        <f aca="false">"-150.9"</f>
        <v>-150.9</v>
      </c>
    </row>
    <row r="557" customFormat="false" ht="12.8" hidden="false" customHeight="false" outlineLevel="0" collapsed="false">
      <c r="A557" s="0" t="s">
        <v>8</v>
      </c>
      <c r="B557" s="0" t="s">
        <v>9</v>
      </c>
      <c r="C557" s="0" t="str">
        <f aca="false">"134-145"</f>
        <v>134-145</v>
      </c>
      <c r="D557" s="0" t="s">
        <v>9</v>
      </c>
      <c r="E557" s="0" t="str">
        <f aca="false">"229-240"</f>
        <v>229-240</v>
      </c>
      <c r="F557" s="0" t="s">
        <v>576</v>
      </c>
      <c r="G557" s="0" t="s">
        <v>9</v>
      </c>
      <c r="H557" s="0" t="str">
        <f aca="false">"54-65"</f>
        <v>54-65</v>
      </c>
      <c r="I557" s="0" t="s">
        <v>9</v>
      </c>
      <c r="J557" s="0" t="str">
        <f aca="false">"74-85"</f>
        <v>74-85</v>
      </c>
      <c r="K557" s="0" t="str">
        <f aca="false">"0.72"</f>
        <v>0.72</v>
      </c>
      <c r="L557" s="0" t="str">
        <f aca="false">"9.03"</f>
        <v>9.03</v>
      </c>
      <c r="M557" s="0" t="str">
        <f aca="false">"-147.4"</f>
        <v>-147.4</v>
      </c>
    </row>
    <row r="558" customFormat="false" ht="12.8" hidden="false" customHeight="false" outlineLevel="0" collapsed="false">
      <c r="A558" s="0" t="s">
        <v>8</v>
      </c>
      <c r="B558" s="0" t="s">
        <v>9</v>
      </c>
      <c r="C558" s="0" t="str">
        <f aca="false">"134-145"</f>
        <v>134-145</v>
      </c>
      <c r="D558" s="0" t="s">
        <v>9</v>
      </c>
      <c r="E558" s="0" t="str">
        <f aca="false">"229-240"</f>
        <v>229-240</v>
      </c>
      <c r="F558" s="0" t="s">
        <v>577</v>
      </c>
      <c r="G558" s="0" t="s">
        <v>9</v>
      </c>
      <c r="H558" s="0" t="str">
        <f aca="false">"320-331"</f>
        <v>320-331</v>
      </c>
      <c r="I558" s="0" t="s">
        <v>13</v>
      </c>
      <c r="J558" s="0" t="str">
        <f aca="false">"320-331"</f>
        <v>320-331</v>
      </c>
      <c r="K558" s="0" t="str">
        <f aca="false">"1.06"</f>
        <v>1.06</v>
      </c>
      <c r="L558" s="0" t="str">
        <f aca="false">"10.62"</f>
        <v>10.62</v>
      </c>
      <c r="M558" s="0" t="str">
        <f aca="false">"-163.0"</f>
        <v>-163.0</v>
      </c>
    </row>
    <row r="559" customFormat="false" ht="12.8" hidden="false" customHeight="false" outlineLevel="0" collapsed="false">
      <c r="A559" s="0" t="s">
        <v>8</v>
      </c>
      <c r="B559" s="0" t="s">
        <v>9</v>
      </c>
      <c r="C559" s="0" t="str">
        <f aca="false">"134-145"</f>
        <v>134-145</v>
      </c>
      <c r="D559" s="0" t="s">
        <v>9</v>
      </c>
      <c r="E559" s="0" t="str">
        <f aca="false">"229-240"</f>
        <v>229-240</v>
      </c>
      <c r="F559" s="0" t="s">
        <v>578</v>
      </c>
      <c r="G559" s="0" t="s">
        <v>13</v>
      </c>
      <c r="H559" s="0" t="str">
        <f aca="false">"112-123"</f>
        <v>112-123</v>
      </c>
      <c r="I559" s="0" t="s">
        <v>13</v>
      </c>
      <c r="J559" s="0" t="str">
        <f aca="false">"132-143"</f>
        <v>132-143</v>
      </c>
      <c r="K559" s="0" t="str">
        <f aca="false">"1.05"</f>
        <v>1.05</v>
      </c>
      <c r="L559" s="0" t="str">
        <f aca="false">"9.51"</f>
        <v>9.51</v>
      </c>
      <c r="M559" s="0" t="str">
        <f aca="false">"-160.4"</f>
        <v>-160.4</v>
      </c>
    </row>
    <row r="560" customFormat="false" ht="12.8" hidden="false" customHeight="false" outlineLevel="0" collapsed="false">
      <c r="A560" s="0" t="s">
        <v>8</v>
      </c>
      <c r="B560" s="0" t="s">
        <v>9</v>
      </c>
      <c r="C560" s="0" t="str">
        <f aca="false">"134-145"</f>
        <v>134-145</v>
      </c>
      <c r="D560" s="0" t="s">
        <v>9</v>
      </c>
      <c r="E560" s="0" t="str">
        <f aca="false">"229-240"</f>
        <v>229-240</v>
      </c>
      <c r="F560" s="0" t="s">
        <v>579</v>
      </c>
      <c r="G560" s="0" t="s">
        <v>120</v>
      </c>
      <c r="H560" s="0" t="str">
        <f aca="false">"35-46"</f>
        <v>35-46</v>
      </c>
      <c r="I560" s="0" t="s">
        <v>120</v>
      </c>
      <c r="J560" s="0" t="str">
        <f aca="false">"19-30"</f>
        <v>19-30</v>
      </c>
      <c r="K560" s="0" t="str">
        <f aca="false">"1.12"</f>
        <v>1.12</v>
      </c>
      <c r="L560" s="0" t="str">
        <f aca="false">"10.39"</f>
        <v>10.39</v>
      </c>
      <c r="M560" s="0" t="str">
        <f aca="false">"-161.0"</f>
        <v>-161.0</v>
      </c>
    </row>
    <row r="561" customFormat="false" ht="12.8" hidden="false" customHeight="false" outlineLevel="0" collapsed="false">
      <c r="A561" s="0" t="s">
        <v>8</v>
      </c>
      <c r="B561" s="0" t="s">
        <v>9</v>
      </c>
      <c r="C561" s="0" t="str">
        <f aca="false">"134-145"</f>
        <v>134-145</v>
      </c>
      <c r="D561" s="0" t="s">
        <v>9</v>
      </c>
      <c r="E561" s="0" t="str">
        <f aca="false">"229-240"</f>
        <v>229-240</v>
      </c>
      <c r="F561" s="0" t="s">
        <v>580</v>
      </c>
      <c r="G561" s="0" t="s">
        <v>581</v>
      </c>
      <c r="H561" s="0" t="str">
        <f aca="false">"109-120"</f>
        <v>109-120</v>
      </c>
      <c r="I561" s="0" t="s">
        <v>581</v>
      </c>
      <c r="J561" s="0" t="str">
        <f aca="false">"204-215"</f>
        <v>204-215</v>
      </c>
      <c r="K561" s="0" t="str">
        <f aca="false">"1.10"</f>
        <v>1.10</v>
      </c>
      <c r="L561" s="0" t="str">
        <f aca="false">"10.74"</f>
        <v>10.74</v>
      </c>
      <c r="M561" s="0" t="str">
        <f aca="false">"-165.1"</f>
        <v>-165.1</v>
      </c>
    </row>
    <row r="562" customFormat="false" ht="12.8" hidden="false" customHeight="false" outlineLevel="0" collapsed="false">
      <c r="A562" s="0" t="s">
        <v>8</v>
      </c>
      <c r="B562" s="0" t="s">
        <v>9</v>
      </c>
      <c r="C562" s="0" t="str">
        <f aca="false">"134-145"</f>
        <v>134-145</v>
      </c>
      <c r="D562" s="0" t="s">
        <v>9</v>
      </c>
      <c r="E562" s="0" t="str">
        <f aca="false">"228-239"</f>
        <v>228-239</v>
      </c>
      <c r="F562" s="0" t="s">
        <v>582</v>
      </c>
      <c r="G562" s="0" t="s">
        <v>13</v>
      </c>
      <c r="H562" s="0" t="str">
        <f aca="false">"146-157"</f>
        <v>146-157</v>
      </c>
      <c r="I562" s="0" t="s">
        <v>13</v>
      </c>
      <c r="J562" s="0" t="str">
        <f aca="false">"165-176"</f>
        <v>165-176</v>
      </c>
      <c r="K562" s="0" t="str">
        <f aca="false">"0.92"</f>
        <v>0.92</v>
      </c>
      <c r="L562" s="0" t="str">
        <f aca="false">"9.16"</f>
        <v>9.16</v>
      </c>
      <c r="M562" s="0" t="str">
        <f aca="false">"-162.9"</f>
        <v>-162.9</v>
      </c>
    </row>
    <row r="563" customFormat="false" ht="12.8" hidden="false" customHeight="false" outlineLevel="0" collapsed="false">
      <c r="A563" s="0" t="s">
        <v>8</v>
      </c>
      <c r="B563" s="0" t="s">
        <v>9</v>
      </c>
      <c r="C563" s="0" t="str">
        <f aca="false">"134-145"</f>
        <v>134-145</v>
      </c>
      <c r="D563" s="0" t="s">
        <v>9</v>
      </c>
      <c r="E563" s="0" t="str">
        <f aca="false">"229-240"</f>
        <v>229-240</v>
      </c>
      <c r="F563" s="0" t="s">
        <v>583</v>
      </c>
      <c r="G563" s="0" t="s">
        <v>9</v>
      </c>
      <c r="H563" s="0" t="str">
        <f aca="false">"365-376"</f>
        <v>365-376</v>
      </c>
      <c r="I563" s="0" t="s">
        <v>9</v>
      </c>
      <c r="J563" s="0" t="str">
        <f aca="false">"385-396"</f>
        <v>385-396</v>
      </c>
      <c r="K563" s="0" t="str">
        <f aca="false">"0.59"</f>
        <v>0.59</v>
      </c>
      <c r="L563" s="0" t="str">
        <f aca="false">"8.79"</f>
        <v>8.79</v>
      </c>
      <c r="M563" s="0" t="str">
        <f aca="false">"-153.5"</f>
        <v>-153.5</v>
      </c>
    </row>
    <row r="564" customFormat="false" ht="12.8" hidden="false" customHeight="false" outlineLevel="0" collapsed="false">
      <c r="A564" s="0" t="s">
        <v>8</v>
      </c>
      <c r="B564" s="0" t="s">
        <v>9</v>
      </c>
      <c r="C564" s="0" t="str">
        <f aca="false">"134-145"</f>
        <v>134-145</v>
      </c>
      <c r="D564" s="0" t="s">
        <v>9</v>
      </c>
      <c r="E564" s="0" t="str">
        <f aca="false">"229-240"</f>
        <v>229-240</v>
      </c>
      <c r="F564" s="0" t="s">
        <v>584</v>
      </c>
      <c r="G564" s="0" t="s">
        <v>9</v>
      </c>
      <c r="H564" s="0" t="str">
        <f aca="false">"267-278"</f>
        <v>267-278</v>
      </c>
      <c r="I564" s="0" t="s">
        <v>9</v>
      </c>
      <c r="J564" s="0" t="str">
        <f aca="false">"169-180"</f>
        <v>169-180</v>
      </c>
      <c r="K564" s="0" t="str">
        <f aca="false">"1.10"</f>
        <v>1.10</v>
      </c>
      <c r="L564" s="0" t="str">
        <f aca="false">"9.63"</f>
        <v>9.63</v>
      </c>
      <c r="M564" s="0" t="str">
        <f aca="false">"-165.0"</f>
        <v>-165.0</v>
      </c>
    </row>
    <row r="565" customFormat="false" ht="12.8" hidden="false" customHeight="false" outlineLevel="0" collapsed="false">
      <c r="A565" s="0" t="s">
        <v>8</v>
      </c>
      <c r="B565" s="0" t="s">
        <v>9</v>
      </c>
      <c r="C565" s="0" t="str">
        <f aca="false">"134-145"</f>
        <v>134-145</v>
      </c>
      <c r="D565" s="0" t="s">
        <v>9</v>
      </c>
      <c r="E565" s="0" t="str">
        <f aca="false">"229-240"</f>
        <v>229-240</v>
      </c>
      <c r="F565" s="0" t="s">
        <v>585</v>
      </c>
      <c r="G565" s="0" t="s">
        <v>13</v>
      </c>
      <c r="H565" s="0" t="str">
        <f aca="false">"427-438"</f>
        <v>427-438</v>
      </c>
      <c r="I565" s="0" t="s">
        <v>13</v>
      </c>
      <c r="J565" s="0" t="str">
        <f aca="false">"368-379"</f>
        <v>368-379</v>
      </c>
      <c r="K565" s="0" t="str">
        <f aca="false">"1.08"</f>
        <v>1.08</v>
      </c>
      <c r="L565" s="0" t="str">
        <f aca="false">"9.32"</f>
        <v>9.32</v>
      </c>
      <c r="M565" s="0" t="str">
        <f aca="false">"-165.4"</f>
        <v>-165.4</v>
      </c>
    </row>
    <row r="566" customFormat="false" ht="12.8" hidden="false" customHeight="false" outlineLevel="0" collapsed="false">
      <c r="A566" s="0" t="s">
        <v>8</v>
      </c>
      <c r="B566" s="0" t="s">
        <v>9</v>
      </c>
      <c r="C566" s="0" t="str">
        <f aca="false">"131-142"</f>
        <v>131-142</v>
      </c>
      <c r="D566" s="0" t="s">
        <v>9</v>
      </c>
      <c r="E566" s="0" t="str">
        <f aca="false">"233-244"</f>
        <v>233-244</v>
      </c>
      <c r="F566" s="0" t="s">
        <v>586</v>
      </c>
      <c r="G566" s="0" t="s">
        <v>9</v>
      </c>
      <c r="H566" s="0" t="str">
        <f aca="false">"24-35"</f>
        <v>24-35</v>
      </c>
      <c r="I566" s="0" t="s">
        <v>70</v>
      </c>
      <c r="J566" s="0" t="str">
        <f aca="false">"24-35"</f>
        <v>24-35</v>
      </c>
      <c r="K566" s="0" t="str">
        <f aca="false">"0.83"</f>
        <v>0.83</v>
      </c>
      <c r="L566" s="0" t="str">
        <f aca="false">"10.55"</f>
        <v>10.55</v>
      </c>
      <c r="M566" s="0" t="str">
        <f aca="false">"-156.3"</f>
        <v>-156.3</v>
      </c>
    </row>
    <row r="567" customFormat="false" ht="12.8" hidden="false" customHeight="false" outlineLevel="0" collapsed="false">
      <c r="A567" s="0" t="s">
        <v>8</v>
      </c>
      <c r="B567" s="0" t="s">
        <v>9</v>
      </c>
      <c r="C567" s="0" t="str">
        <f aca="false">"134-145"</f>
        <v>134-145</v>
      </c>
      <c r="D567" s="0" t="s">
        <v>9</v>
      </c>
      <c r="E567" s="0" t="str">
        <f aca="false">"229-240"</f>
        <v>229-240</v>
      </c>
      <c r="F567" s="0" t="s">
        <v>587</v>
      </c>
      <c r="G567" s="0" t="s">
        <v>9</v>
      </c>
      <c r="H567" s="0" t="str">
        <f aca="false">"55-66"</f>
        <v>55-66</v>
      </c>
      <c r="I567" s="0" t="s">
        <v>9</v>
      </c>
      <c r="J567" s="0" t="str">
        <f aca="false">"374-385"</f>
        <v>374-385</v>
      </c>
      <c r="K567" s="0" t="str">
        <f aca="false">"1.09"</f>
        <v>1.09</v>
      </c>
      <c r="L567" s="0" t="str">
        <f aca="false">"11.05"</f>
        <v>11.05</v>
      </c>
      <c r="M567" s="0" t="str">
        <f aca="false">"-155.0"</f>
        <v>-155.0</v>
      </c>
    </row>
    <row r="568" customFormat="false" ht="12.8" hidden="false" customHeight="false" outlineLevel="0" collapsed="false">
      <c r="A568" s="0" t="s">
        <v>8</v>
      </c>
      <c r="B568" s="0" t="s">
        <v>9</v>
      </c>
      <c r="C568" s="0" t="str">
        <f aca="false">"134-145"</f>
        <v>134-145</v>
      </c>
      <c r="D568" s="0" t="s">
        <v>9</v>
      </c>
      <c r="E568" s="0" t="str">
        <f aca="false">"229-240"</f>
        <v>229-240</v>
      </c>
      <c r="F568" s="0" t="s">
        <v>588</v>
      </c>
      <c r="G568" s="0" t="s">
        <v>9</v>
      </c>
      <c r="H568" s="0" t="str">
        <f aca="false">"261-272"</f>
        <v>261-272</v>
      </c>
      <c r="I568" s="0" t="s">
        <v>9</v>
      </c>
      <c r="J568" s="0" t="str">
        <f aca="false">"201-212"</f>
        <v>201-212</v>
      </c>
      <c r="K568" s="0" t="str">
        <f aca="false">"1.07"</f>
        <v>1.07</v>
      </c>
      <c r="L568" s="0" t="str">
        <f aca="false">"9.83"</f>
        <v>9.83</v>
      </c>
      <c r="M568" s="0" t="str">
        <f aca="false">"-152.8"</f>
        <v>-152.8</v>
      </c>
    </row>
    <row r="569" customFormat="false" ht="12.8" hidden="false" customHeight="false" outlineLevel="0" collapsed="false">
      <c r="A569" s="0" t="s">
        <v>8</v>
      </c>
      <c r="B569" s="0" t="s">
        <v>9</v>
      </c>
      <c r="C569" s="0" t="str">
        <f aca="false">"134-145"</f>
        <v>134-145</v>
      </c>
      <c r="D569" s="0" t="s">
        <v>9</v>
      </c>
      <c r="E569" s="0" t="str">
        <f aca="false">"229-240"</f>
        <v>229-240</v>
      </c>
      <c r="F569" s="0" t="s">
        <v>589</v>
      </c>
      <c r="G569" s="0" t="s">
        <v>13</v>
      </c>
      <c r="H569" s="0" t="str">
        <f aca="false">"4-15"</f>
        <v>4-15</v>
      </c>
      <c r="I569" s="0" t="s">
        <v>9</v>
      </c>
      <c r="J569" s="0" t="str">
        <f aca="false">"4-15"</f>
        <v>4-15</v>
      </c>
      <c r="K569" s="0" t="str">
        <f aca="false">"0.99"</f>
        <v>0.99</v>
      </c>
      <c r="L569" s="0" t="str">
        <f aca="false">"9.13"</f>
        <v>9.13</v>
      </c>
      <c r="M569" s="0" t="str">
        <f aca="false">"-157.7"</f>
        <v>-157.7</v>
      </c>
    </row>
    <row r="570" customFormat="false" ht="12.8" hidden="false" customHeight="false" outlineLevel="0" collapsed="false">
      <c r="A570" s="0" t="s">
        <v>8</v>
      </c>
      <c r="B570" s="0" t="s">
        <v>9</v>
      </c>
      <c r="C570" s="0" t="str">
        <f aca="false">"134-145"</f>
        <v>134-145</v>
      </c>
      <c r="D570" s="0" t="s">
        <v>9</v>
      </c>
      <c r="E570" s="0" t="str">
        <f aca="false">"229-240"</f>
        <v>229-240</v>
      </c>
      <c r="F570" s="0" t="s">
        <v>590</v>
      </c>
      <c r="G570" s="0" t="s">
        <v>9</v>
      </c>
      <c r="H570" s="0" t="str">
        <f aca="false">"93-104"</f>
        <v>93-104</v>
      </c>
      <c r="I570" s="0" t="s">
        <v>13</v>
      </c>
      <c r="J570" s="0" t="str">
        <f aca="false">"93-104"</f>
        <v>93-104</v>
      </c>
      <c r="K570" s="0" t="str">
        <f aca="false">"0.84"</f>
        <v>0.84</v>
      </c>
      <c r="L570" s="0" t="str">
        <f aca="false">"8.77"</f>
        <v>8.77</v>
      </c>
      <c r="M570" s="0" t="str">
        <f aca="false">"-161.2"</f>
        <v>-161.2</v>
      </c>
    </row>
    <row r="571" customFormat="false" ht="12.8" hidden="false" customHeight="false" outlineLevel="0" collapsed="false">
      <c r="A571" s="0" t="s">
        <v>8</v>
      </c>
      <c r="B571" s="0" t="s">
        <v>9</v>
      </c>
      <c r="C571" s="0" t="str">
        <f aca="false">"134-145"</f>
        <v>134-145</v>
      </c>
      <c r="D571" s="0" t="s">
        <v>9</v>
      </c>
      <c r="E571" s="0" t="str">
        <f aca="false">"229-240"</f>
        <v>229-240</v>
      </c>
      <c r="F571" s="0" t="s">
        <v>591</v>
      </c>
      <c r="G571" s="0" t="s">
        <v>13</v>
      </c>
      <c r="H571" s="0" t="str">
        <f aca="false">"29-40"</f>
        <v>29-40</v>
      </c>
      <c r="I571" s="0" t="s">
        <v>9</v>
      </c>
      <c r="J571" s="0" t="str">
        <f aca="false">"29-40"</f>
        <v>29-40</v>
      </c>
      <c r="K571" s="0" t="str">
        <f aca="false">"0.75"</f>
        <v>0.75</v>
      </c>
      <c r="L571" s="0" t="str">
        <f aca="false">"8.50"</f>
        <v>8.50</v>
      </c>
      <c r="M571" s="0" t="str">
        <f aca="false">"-146.3"</f>
        <v>-146.3</v>
      </c>
    </row>
    <row r="572" customFormat="false" ht="12.8" hidden="false" customHeight="false" outlineLevel="0" collapsed="false">
      <c r="A572" s="0" t="s">
        <v>8</v>
      </c>
      <c r="B572" s="0" t="s">
        <v>9</v>
      </c>
      <c r="C572" s="0" t="str">
        <f aca="false">"134-145"</f>
        <v>134-145</v>
      </c>
      <c r="D572" s="0" t="s">
        <v>9</v>
      </c>
      <c r="E572" s="0" t="str">
        <f aca="false">"229-240"</f>
        <v>229-240</v>
      </c>
      <c r="F572" s="0" t="s">
        <v>592</v>
      </c>
      <c r="G572" s="0" t="s">
        <v>9</v>
      </c>
      <c r="H572" s="0" t="str">
        <f aca="false">"60-71"</f>
        <v>60-71</v>
      </c>
      <c r="I572" s="0" t="s">
        <v>9</v>
      </c>
      <c r="J572" s="0" t="str">
        <f aca="false">"110-121"</f>
        <v>110-121</v>
      </c>
      <c r="K572" s="0" t="str">
        <f aca="false">"1.03"</f>
        <v>1.03</v>
      </c>
      <c r="L572" s="0" t="str">
        <f aca="false">"8.97"</f>
        <v>8.97</v>
      </c>
      <c r="M572" s="0" t="str">
        <f aca="false">"-160.0"</f>
        <v>-160.0</v>
      </c>
    </row>
    <row r="573" customFormat="false" ht="12.8" hidden="false" customHeight="false" outlineLevel="0" collapsed="false">
      <c r="A573" s="0" t="s">
        <v>8</v>
      </c>
      <c r="B573" s="0" t="s">
        <v>9</v>
      </c>
      <c r="C573" s="0" t="str">
        <f aca="false">"134-145"</f>
        <v>134-145</v>
      </c>
      <c r="D573" s="0" t="s">
        <v>9</v>
      </c>
      <c r="E573" s="0" t="str">
        <f aca="false">"229-240"</f>
        <v>229-240</v>
      </c>
      <c r="F573" s="0" t="s">
        <v>593</v>
      </c>
      <c r="G573" s="0" t="s">
        <v>13</v>
      </c>
      <c r="H573" s="0" t="str">
        <f aca="false">"111-122"</f>
        <v>111-122</v>
      </c>
      <c r="I573" s="0" t="s">
        <v>120</v>
      </c>
      <c r="J573" s="0" t="str">
        <f aca="false">"111-122"</f>
        <v>111-122</v>
      </c>
      <c r="K573" s="0" t="str">
        <f aca="false">"1.02"</f>
        <v>1.02</v>
      </c>
      <c r="L573" s="0" t="str">
        <f aca="false">"8.66"</f>
        <v>8.66</v>
      </c>
      <c r="M573" s="0" t="str">
        <f aca="false">"-151.6"</f>
        <v>-151.6</v>
      </c>
    </row>
    <row r="574" customFormat="false" ht="12.8" hidden="false" customHeight="false" outlineLevel="0" collapsed="false">
      <c r="A574" s="0" t="s">
        <v>8</v>
      </c>
      <c r="B574" s="0" t="s">
        <v>9</v>
      </c>
      <c r="C574" s="0" t="str">
        <f aca="false">"134-145"</f>
        <v>134-145</v>
      </c>
      <c r="D574" s="0" t="s">
        <v>9</v>
      </c>
      <c r="E574" s="0" t="str">
        <f aca="false">"229-240"</f>
        <v>229-240</v>
      </c>
      <c r="F574" s="0" t="s">
        <v>594</v>
      </c>
      <c r="G574" s="0" t="s">
        <v>9</v>
      </c>
      <c r="H574" s="0" t="str">
        <f aca="false">"392-403"</f>
        <v>392-403</v>
      </c>
      <c r="I574" s="0" t="s">
        <v>9</v>
      </c>
      <c r="J574" s="0" t="str">
        <f aca="false">"338-349"</f>
        <v>338-349</v>
      </c>
      <c r="K574" s="0" t="str">
        <f aca="false">"1.07"</f>
        <v>1.07</v>
      </c>
      <c r="L574" s="0" t="str">
        <f aca="false">"9.45"</f>
        <v>9.45</v>
      </c>
      <c r="M574" s="0" t="str">
        <f aca="false">"-158.8"</f>
        <v>-158.8</v>
      </c>
    </row>
    <row r="575" customFormat="false" ht="12.8" hidden="false" customHeight="false" outlineLevel="0" collapsed="false">
      <c r="A575" s="0" t="s">
        <v>8</v>
      </c>
      <c r="B575" s="0" t="s">
        <v>9</v>
      </c>
      <c r="C575" s="0" t="str">
        <f aca="false">"134-145"</f>
        <v>134-145</v>
      </c>
      <c r="D575" s="0" t="s">
        <v>9</v>
      </c>
      <c r="E575" s="0" t="str">
        <f aca="false">"229-240"</f>
        <v>229-240</v>
      </c>
      <c r="F575" s="0" t="s">
        <v>595</v>
      </c>
      <c r="G575" s="0" t="s">
        <v>13</v>
      </c>
      <c r="H575" s="0" t="str">
        <f aca="false">"103-114"</f>
        <v>103-114</v>
      </c>
      <c r="I575" s="0" t="s">
        <v>13</v>
      </c>
      <c r="J575" s="0" t="str">
        <f aca="false">"39-50"</f>
        <v>39-50</v>
      </c>
      <c r="K575" s="0" t="str">
        <f aca="false">"0.88"</f>
        <v>0.88</v>
      </c>
      <c r="L575" s="0" t="str">
        <f aca="false">"8.71"</f>
        <v>8.71</v>
      </c>
      <c r="M575" s="0" t="str">
        <f aca="false">"-165.5"</f>
        <v>-165.5</v>
      </c>
    </row>
    <row r="576" customFormat="false" ht="12.8" hidden="false" customHeight="false" outlineLevel="0" collapsed="false">
      <c r="A576" s="0" t="s">
        <v>8</v>
      </c>
      <c r="B576" s="0" t="s">
        <v>9</v>
      </c>
      <c r="C576" s="0" t="str">
        <f aca="false">"134-145"</f>
        <v>134-145</v>
      </c>
      <c r="D576" s="0" t="s">
        <v>9</v>
      </c>
      <c r="E576" s="0" t="str">
        <f aca="false">"229-240"</f>
        <v>229-240</v>
      </c>
      <c r="F576" s="0" t="s">
        <v>596</v>
      </c>
      <c r="G576" s="0" t="s">
        <v>9</v>
      </c>
      <c r="H576" s="0" t="str">
        <f aca="false">"202-213"</f>
        <v>202-213</v>
      </c>
      <c r="I576" s="0" t="s">
        <v>9</v>
      </c>
      <c r="J576" s="0" t="str">
        <f aca="false">"265-276"</f>
        <v>265-276</v>
      </c>
      <c r="K576" s="0" t="str">
        <f aca="false">"1.09"</f>
        <v>1.09</v>
      </c>
      <c r="L576" s="0" t="str">
        <f aca="false">"9.09"</f>
        <v>9.09</v>
      </c>
      <c r="M576" s="0" t="str">
        <f aca="false">"-167.5"</f>
        <v>-167.5</v>
      </c>
    </row>
    <row r="577" customFormat="false" ht="12.8" hidden="false" customHeight="false" outlineLevel="0" collapsed="false">
      <c r="A577" s="0" t="s">
        <v>8</v>
      </c>
      <c r="B577" s="0" t="s">
        <v>9</v>
      </c>
      <c r="C577" s="0" t="str">
        <f aca="false">"134-145"</f>
        <v>134-145</v>
      </c>
      <c r="D577" s="0" t="s">
        <v>9</v>
      </c>
      <c r="E577" s="0" t="str">
        <f aca="false">"229-240"</f>
        <v>229-240</v>
      </c>
      <c r="F577" s="0" t="s">
        <v>597</v>
      </c>
      <c r="G577" s="0" t="s">
        <v>13</v>
      </c>
      <c r="H577" s="0" t="str">
        <f aca="false">"100-111"</f>
        <v>100-111</v>
      </c>
      <c r="I577" s="0" t="s">
        <v>13</v>
      </c>
      <c r="J577" s="0" t="str">
        <f aca="false">"124-135"</f>
        <v>124-135</v>
      </c>
      <c r="K577" s="0" t="str">
        <f aca="false">"1.16"</f>
        <v>1.16</v>
      </c>
      <c r="L577" s="0" t="str">
        <f aca="false">"9.31"</f>
        <v>9.31</v>
      </c>
      <c r="M577" s="0" t="str">
        <f aca="false">"-156.2"</f>
        <v>-156.2</v>
      </c>
    </row>
    <row r="578" customFormat="false" ht="12.8" hidden="false" customHeight="false" outlineLevel="0" collapsed="false">
      <c r="A578" s="0" t="s">
        <v>8</v>
      </c>
      <c r="B578" s="0" t="s">
        <v>9</v>
      </c>
      <c r="C578" s="0" t="str">
        <f aca="false">"134-145"</f>
        <v>134-145</v>
      </c>
      <c r="D578" s="0" t="s">
        <v>9</v>
      </c>
      <c r="E578" s="0" t="str">
        <f aca="false">"229-240"</f>
        <v>229-240</v>
      </c>
      <c r="F578" s="0" t="s">
        <v>598</v>
      </c>
      <c r="G578" s="0" t="s">
        <v>13</v>
      </c>
      <c r="H578" s="0" t="str">
        <f aca="false">"84-95"</f>
        <v>84-95</v>
      </c>
      <c r="I578" s="0" t="s">
        <v>13</v>
      </c>
      <c r="J578" s="0" t="str">
        <f aca="false">"58-69"</f>
        <v>58-69</v>
      </c>
      <c r="K578" s="0" t="str">
        <f aca="false">"1.01"</f>
        <v>1.01</v>
      </c>
      <c r="L578" s="0" t="str">
        <f aca="false">"8.90"</f>
        <v>8.90</v>
      </c>
      <c r="M578" s="0" t="str">
        <f aca="false">"-165.4"</f>
        <v>-165.4</v>
      </c>
    </row>
    <row r="579" customFormat="false" ht="12.8" hidden="false" customHeight="false" outlineLevel="0" collapsed="false">
      <c r="A579" s="0" t="s">
        <v>8</v>
      </c>
      <c r="B579" s="0" t="s">
        <v>9</v>
      </c>
      <c r="C579" s="0" t="str">
        <f aca="false">"134-145"</f>
        <v>134-145</v>
      </c>
      <c r="D579" s="0" t="s">
        <v>9</v>
      </c>
      <c r="E579" s="0" t="str">
        <f aca="false">"229-240"</f>
        <v>229-240</v>
      </c>
      <c r="F579" s="0" t="s">
        <v>599</v>
      </c>
      <c r="G579" s="0" t="s">
        <v>9</v>
      </c>
      <c r="H579" s="0" t="str">
        <f aca="false">"138-149"</f>
        <v>138-149</v>
      </c>
      <c r="I579" s="0" t="s">
        <v>9</v>
      </c>
      <c r="J579" s="0" t="str">
        <f aca="false">"259-270"</f>
        <v>259-270</v>
      </c>
      <c r="K579" s="0" t="str">
        <f aca="false">"0.91"</f>
        <v>0.91</v>
      </c>
      <c r="L579" s="0" t="str">
        <f aca="false">"8.66"</f>
        <v>8.66</v>
      </c>
      <c r="M579" s="0" t="str">
        <f aca="false">"-167.3"</f>
        <v>-167.3</v>
      </c>
    </row>
    <row r="580" customFormat="false" ht="12.8" hidden="false" customHeight="false" outlineLevel="0" collapsed="false">
      <c r="A580" s="0" t="s">
        <v>8</v>
      </c>
      <c r="B580" s="0" t="s">
        <v>9</v>
      </c>
      <c r="C580" s="0" t="str">
        <f aca="false">"134-145"</f>
        <v>134-145</v>
      </c>
      <c r="D580" s="0" t="s">
        <v>9</v>
      </c>
      <c r="E580" s="0" t="str">
        <f aca="false">"229-240"</f>
        <v>229-240</v>
      </c>
      <c r="F580" s="0" t="s">
        <v>600</v>
      </c>
      <c r="G580" s="0" t="s">
        <v>120</v>
      </c>
      <c r="H580" s="0" t="str">
        <f aca="false">"246-257"</f>
        <v>246-257</v>
      </c>
      <c r="I580" s="0" t="s">
        <v>120</v>
      </c>
      <c r="J580" s="0" t="str">
        <f aca="false">"221-232"</f>
        <v>221-232</v>
      </c>
      <c r="K580" s="0" t="str">
        <f aca="false">"0.99"</f>
        <v>0.99</v>
      </c>
      <c r="L580" s="0" t="str">
        <f aca="false">"8.79"</f>
        <v>8.79</v>
      </c>
      <c r="M580" s="0" t="str">
        <f aca="false">"-164.5"</f>
        <v>-164.5</v>
      </c>
    </row>
    <row r="581" customFormat="false" ht="12.8" hidden="false" customHeight="false" outlineLevel="0" collapsed="false">
      <c r="A581" s="0" t="s">
        <v>8</v>
      </c>
      <c r="B581" s="0" t="s">
        <v>9</v>
      </c>
      <c r="C581" s="0" t="str">
        <f aca="false">"134-145"</f>
        <v>134-145</v>
      </c>
      <c r="D581" s="0" t="s">
        <v>9</v>
      </c>
      <c r="E581" s="0" t="str">
        <f aca="false">"229-240"</f>
        <v>229-240</v>
      </c>
      <c r="F581" s="0" t="s">
        <v>601</v>
      </c>
      <c r="G581" s="0" t="s">
        <v>9</v>
      </c>
      <c r="H581" s="0" t="str">
        <f aca="false">"172-183"</f>
        <v>172-183</v>
      </c>
      <c r="I581" s="0" t="s">
        <v>9</v>
      </c>
      <c r="J581" s="0" t="str">
        <f aca="false">"124-135"</f>
        <v>124-135</v>
      </c>
      <c r="K581" s="0" t="str">
        <f aca="false">"1.22"</f>
        <v>1.22</v>
      </c>
      <c r="L581" s="0" t="str">
        <f aca="false">"9.28"</f>
        <v>9.28</v>
      </c>
      <c r="M581" s="0" t="str">
        <f aca="false">"-164.2"</f>
        <v>-164.2</v>
      </c>
    </row>
    <row r="582" customFormat="false" ht="12.8" hidden="false" customHeight="false" outlineLevel="0" collapsed="false">
      <c r="A582" s="0" t="s">
        <v>8</v>
      </c>
      <c r="B582" s="0" t="s">
        <v>9</v>
      </c>
      <c r="C582" s="0" t="str">
        <f aca="false">"134-145"</f>
        <v>134-145</v>
      </c>
      <c r="D582" s="0" t="s">
        <v>9</v>
      </c>
      <c r="E582" s="0" t="str">
        <f aca="false">"229-240"</f>
        <v>229-240</v>
      </c>
      <c r="F582" s="0" t="s">
        <v>602</v>
      </c>
      <c r="G582" s="0" t="s">
        <v>13</v>
      </c>
      <c r="H582" s="0" t="str">
        <f aca="false">"296-307"</f>
        <v>296-307</v>
      </c>
      <c r="I582" s="0" t="s">
        <v>13</v>
      </c>
      <c r="J582" s="0" t="str">
        <f aca="false">"225-236"</f>
        <v>225-236</v>
      </c>
      <c r="K582" s="0" t="str">
        <f aca="false">"1.18"</f>
        <v>1.18</v>
      </c>
      <c r="L582" s="0" t="str">
        <f aca="false">"9.89"</f>
        <v>9.89</v>
      </c>
      <c r="M582" s="0" t="str">
        <f aca="false">"-160.9"</f>
        <v>-160.9</v>
      </c>
    </row>
    <row r="583" customFormat="false" ht="12.8" hidden="false" customHeight="false" outlineLevel="0" collapsed="false">
      <c r="A583" s="0" t="s">
        <v>8</v>
      </c>
      <c r="B583" s="0" t="s">
        <v>9</v>
      </c>
      <c r="C583" s="0" t="str">
        <f aca="false">"134-145"</f>
        <v>134-145</v>
      </c>
      <c r="D583" s="0" t="s">
        <v>9</v>
      </c>
      <c r="E583" s="0" t="str">
        <f aca="false">"229-240"</f>
        <v>229-240</v>
      </c>
      <c r="F583" s="0" t="s">
        <v>603</v>
      </c>
      <c r="G583" s="0" t="s">
        <v>9</v>
      </c>
      <c r="H583" s="0" t="str">
        <f aca="false">"65-76"</f>
        <v>65-76</v>
      </c>
      <c r="I583" s="0" t="s">
        <v>9</v>
      </c>
      <c r="J583" s="0" t="str">
        <f aca="false">"51-62"</f>
        <v>51-62</v>
      </c>
      <c r="K583" s="0" t="str">
        <f aca="false">"0.81"</f>
        <v>0.81</v>
      </c>
      <c r="L583" s="0" t="str">
        <f aca="false">"8.28"</f>
        <v>8.28</v>
      </c>
      <c r="M583" s="0" t="str">
        <f aca="false">"-159.4"</f>
        <v>-159.4</v>
      </c>
    </row>
    <row r="584" customFormat="false" ht="12.8" hidden="false" customHeight="false" outlineLevel="0" collapsed="false">
      <c r="A584" s="0" t="s">
        <v>8</v>
      </c>
      <c r="B584" s="0" t="s">
        <v>9</v>
      </c>
      <c r="C584" s="0" t="str">
        <f aca="false">"134-145"</f>
        <v>134-145</v>
      </c>
      <c r="D584" s="0" t="s">
        <v>9</v>
      </c>
      <c r="E584" s="0" t="str">
        <f aca="false">"229-240"</f>
        <v>229-240</v>
      </c>
      <c r="F584" s="0" t="s">
        <v>604</v>
      </c>
      <c r="G584" s="0" t="s">
        <v>9</v>
      </c>
      <c r="H584" s="0" t="str">
        <f aca="false">"7-18"</f>
        <v>7-18</v>
      </c>
      <c r="I584" s="0" t="s">
        <v>9</v>
      </c>
      <c r="J584" s="0" t="str">
        <f aca="false">"45-56"</f>
        <v>45-56</v>
      </c>
      <c r="K584" s="0" t="str">
        <f aca="false">"1.09"</f>
        <v>1.09</v>
      </c>
      <c r="L584" s="0" t="str">
        <f aca="false">"9.19"</f>
        <v>9.19</v>
      </c>
      <c r="M584" s="0" t="str">
        <f aca="false">"-149.0"</f>
        <v>-149.0</v>
      </c>
    </row>
    <row r="585" customFormat="false" ht="12.8" hidden="false" customHeight="false" outlineLevel="0" collapsed="false">
      <c r="A585" s="0" t="s">
        <v>8</v>
      </c>
      <c r="B585" s="0" t="s">
        <v>9</v>
      </c>
      <c r="C585" s="0" t="str">
        <f aca="false">"132-143"</f>
        <v>132-143</v>
      </c>
      <c r="D585" s="0" t="s">
        <v>9</v>
      </c>
      <c r="E585" s="0" t="str">
        <f aca="false">"230-241"</f>
        <v>230-241</v>
      </c>
      <c r="F585" s="0" t="s">
        <v>605</v>
      </c>
      <c r="G585" s="0" t="s">
        <v>9</v>
      </c>
      <c r="H585" s="0" t="str">
        <f aca="false">"502-513"</f>
        <v>502-513</v>
      </c>
      <c r="I585" s="0" t="s">
        <v>9</v>
      </c>
      <c r="J585" s="0" t="str">
        <f aca="false">"212-223"</f>
        <v>212-223</v>
      </c>
      <c r="K585" s="0" t="str">
        <f aca="false">"0.90"</f>
        <v>0.90</v>
      </c>
      <c r="L585" s="0" t="str">
        <f aca="false">"9.68"</f>
        <v>9.68</v>
      </c>
      <c r="M585" s="0" t="str">
        <f aca="false">"-154.9"</f>
        <v>-154.9</v>
      </c>
    </row>
    <row r="586" customFormat="false" ht="12.8" hidden="false" customHeight="false" outlineLevel="0" collapsed="false">
      <c r="A586" s="0" t="s">
        <v>8</v>
      </c>
      <c r="B586" s="0" t="s">
        <v>9</v>
      </c>
      <c r="C586" s="0" t="str">
        <f aca="false">"131-142"</f>
        <v>131-142</v>
      </c>
      <c r="D586" s="0" t="s">
        <v>9</v>
      </c>
      <c r="E586" s="0" t="str">
        <f aca="false">"230-241"</f>
        <v>230-241</v>
      </c>
      <c r="F586" s="0" t="s">
        <v>606</v>
      </c>
      <c r="G586" s="0" t="s">
        <v>9</v>
      </c>
      <c r="H586" s="0" t="str">
        <f aca="false">"94-105"</f>
        <v>94-105</v>
      </c>
      <c r="I586" s="0" t="s">
        <v>9</v>
      </c>
      <c r="J586" s="0" t="str">
        <f aca="false">"110-121"</f>
        <v>110-121</v>
      </c>
      <c r="K586" s="0" t="str">
        <f aca="false">"0.72"</f>
        <v>0.72</v>
      </c>
      <c r="L586" s="0" t="str">
        <f aca="false">"10.05"</f>
        <v>10.05</v>
      </c>
      <c r="M586" s="0" t="str">
        <f aca="false">"-156.2"</f>
        <v>-156.2</v>
      </c>
    </row>
    <row r="587" customFormat="false" ht="12.8" hidden="false" customHeight="false" outlineLevel="0" collapsed="false">
      <c r="A587" s="0" t="s">
        <v>8</v>
      </c>
      <c r="B587" s="0" t="s">
        <v>9</v>
      </c>
      <c r="C587" s="0" t="str">
        <f aca="false">"132-143"</f>
        <v>132-143</v>
      </c>
      <c r="D587" s="0" t="s">
        <v>9</v>
      </c>
      <c r="E587" s="0" t="str">
        <f aca="false">"229-240"</f>
        <v>229-240</v>
      </c>
      <c r="F587" s="0" t="s">
        <v>607</v>
      </c>
      <c r="G587" s="0" t="s">
        <v>9</v>
      </c>
      <c r="H587" s="0" t="str">
        <f aca="false">"282-293"</f>
        <v>282-293</v>
      </c>
      <c r="I587" s="0" t="s">
        <v>9</v>
      </c>
      <c r="J587" s="0" t="str">
        <f aca="false">"228-239"</f>
        <v>228-239</v>
      </c>
      <c r="K587" s="0" t="str">
        <f aca="false">"0.96"</f>
        <v>0.96</v>
      </c>
      <c r="L587" s="0" t="str">
        <f aca="false">"10.07"</f>
        <v>10.07</v>
      </c>
      <c r="M587" s="0" t="str">
        <f aca="false">"-157.4"</f>
        <v>-157.4</v>
      </c>
    </row>
    <row r="588" customFormat="false" ht="12.8" hidden="false" customHeight="false" outlineLevel="0" collapsed="false">
      <c r="A588" s="0" t="s">
        <v>8</v>
      </c>
      <c r="B588" s="0" t="s">
        <v>9</v>
      </c>
      <c r="C588" s="0" t="str">
        <f aca="false">"133-144"</f>
        <v>133-144</v>
      </c>
      <c r="D588" s="0" t="s">
        <v>9</v>
      </c>
      <c r="E588" s="0" t="str">
        <f aca="false">"230-241"</f>
        <v>230-241</v>
      </c>
      <c r="F588" s="0" t="s">
        <v>608</v>
      </c>
      <c r="G588" s="0" t="s">
        <v>13</v>
      </c>
      <c r="H588" s="0" t="str">
        <f aca="false">"99-110"</f>
        <v>99-110</v>
      </c>
      <c r="I588" s="0" t="s">
        <v>13</v>
      </c>
      <c r="J588" s="0" t="str">
        <f aca="false">"113-124"</f>
        <v>113-124</v>
      </c>
      <c r="K588" s="0" t="str">
        <f aca="false">"0.80"</f>
        <v>0.80</v>
      </c>
      <c r="L588" s="0" t="str">
        <f aca="false">"8.98"</f>
        <v>8.98</v>
      </c>
      <c r="M588" s="0" t="str">
        <f aca="false">"-147.8"</f>
        <v>-147.8</v>
      </c>
    </row>
    <row r="589" customFormat="false" ht="12.8" hidden="false" customHeight="false" outlineLevel="0" collapsed="false">
      <c r="A589" s="0" t="s">
        <v>8</v>
      </c>
      <c r="B589" s="0" t="s">
        <v>9</v>
      </c>
      <c r="C589" s="0" t="str">
        <f aca="false">"131-142"</f>
        <v>131-142</v>
      </c>
      <c r="D589" s="0" t="s">
        <v>9</v>
      </c>
      <c r="E589" s="0" t="str">
        <f aca="false">"230-241"</f>
        <v>230-241</v>
      </c>
      <c r="F589" s="0" t="s">
        <v>609</v>
      </c>
      <c r="G589" s="0" t="s">
        <v>9</v>
      </c>
      <c r="H589" s="0" t="str">
        <f aca="false">"77-88"</f>
        <v>77-88</v>
      </c>
      <c r="I589" s="0" t="s">
        <v>9</v>
      </c>
      <c r="J589" s="0" t="str">
        <f aca="false">"93-104"</f>
        <v>93-104</v>
      </c>
      <c r="K589" s="0" t="str">
        <f aca="false">"0.73"</f>
        <v>0.73</v>
      </c>
      <c r="L589" s="0" t="str">
        <f aca="false">"9.54"</f>
        <v>9.54</v>
      </c>
      <c r="M589" s="0" t="str">
        <f aca="false">"-154.8"</f>
        <v>-154.8</v>
      </c>
    </row>
    <row r="590" customFormat="false" ht="12.8" hidden="false" customHeight="false" outlineLevel="0" collapsed="false">
      <c r="A590" s="0" t="s">
        <v>8</v>
      </c>
      <c r="B590" s="0" t="s">
        <v>9</v>
      </c>
      <c r="C590" s="0" t="str">
        <f aca="false">"133-144"</f>
        <v>133-144</v>
      </c>
      <c r="D590" s="0" t="s">
        <v>9</v>
      </c>
      <c r="E590" s="0" t="str">
        <f aca="false">"230-241"</f>
        <v>230-241</v>
      </c>
      <c r="F590" s="0" t="s">
        <v>610</v>
      </c>
      <c r="G590" s="0" t="s">
        <v>9</v>
      </c>
      <c r="H590" s="0" t="str">
        <f aca="false">"107-118"</f>
        <v>107-118</v>
      </c>
      <c r="I590" s="0" t="s">
        <v>9</v>
      </c>
      <c r="J590" s="0" t="str">
        <f aca="false">"121-132"</f>
        <v>121-132</v>
      </c>
      <c r="K590" s="0" t="str">
        <f aca="false">"0.73"</f>
        <v>0.73</v>
      </c>
      <c r="L590" s="0" t="str">
        <f aca="false">"9.49"</f>
        <v>9.49</v>
      </c>
      <c r="M590" s="0" t="str">
        <f aca="false">"-155.9"</f>
        <v>-155.9</v>
      </c>
    </row>
    <row r="591" customFormat="false" ht="12.8" hidden="false" customHeight="false" outlineLevel="0" collapsed="false">
      <c r="A591" s="0" t="s">
        <v>8</v>
      </c>
      <c r="B591" s="0" t="s">
        <v>9</v>
      </c>
      <c r="C591" s="0" t="str">
        <f aca="false">"131-142"</f>
        <v>131-142</v>
      </c>
      <c r="D591" s="0" t="s">
        <v>9</v>
      </c>
      <c r="E591" s="0" t="str">
        <f aca="false">"230-241"</f>
        <v>230-241</v>
      </c>
      <c r="F591" s="0" t="s">
        <v>611</v>
      </c>
      <c r="G591" s="0" t="s">
        <v>9</v>
      </c>
      <c r="H591" s="0" t="str">
        <f aca="false">"6-17"</f>
        <v>6-17</v>
      </c>
      <c r="I591" s="0" t="s">
        <v>9</v>
      </c>
      <c r="J591" s="0" t="str">
        <f aca="false">"22-33"</f>
        <v>22-33</v>
      </c>
      <c r="K591" s="0" t="str">
        <f aca="false">"0.90"</f>
        <v>0.90</v>
      </c>
      <c r="L591" s="0" t="str">
        <f aca="false">"10.03"</f>
        <v>10.03</v>
      </c>
      <c r="M591" s="0" t="str">
        <f aca="false">"-151.2"</f>
        <v>-151.2</v>
      </c>
    </row>
    <row r="592" customFormat="false" ht="12.8" hidden="false" customHeight="false" outlineLevel="0" collapsed="false">
      <c r="A592" s="0" t="s">
        <v>8</v>
      </c>
      <c r="B592" s="0" t="s">
        <v>9</v>
      </c>
      <c r="C592" s="0" t="str">
        <f aca="false">"133-144"</f>
        <v>133-144</v>
      </c>
      <c r="D592" s="0" t="s">
        <v>9</v>
      </c>
      <c r="E592" s="0" t="str">
        <f aca="false">"229-240"</f>
        <v>229-240</v>
      </c>
      <c r="F592" s="0" t="s">
        <v>612</v>
      </c>
      <c r="G592" s="0" t="s">
        <v>9</v>
      </c>
      <c r="H592" s="0" t="str">
        <f aca="false">"237-248"</f>
        <v>237-248</v>
      </c>
      <c r="I592" s="0" t="s">
        <v>9</v>
      </c>
      <c r="J592" s="0" t="str">
        <f aca="false">"217-228"</f>
        <v>217-228</v>
      </c>
      <c r="K592" s="0" t="str">
        <f aca="false">"0.77"</f>
        <v>0.77</v>
      </c>
      <c r="L592" s="0" t="str">
        <f aca="false">"9.42"</f>
        <v>9.42</v>
      </c>
      <c r="M592" s="0" t="str">
        <f aca="false">"-158.5"</f>
        <v>-158.5</v>
      </c>
    </row>
    <row r="593" customFormat="false" ht="12.8" hidden="false" customHeight="false" outlineLevel="0" collapsed="false">
      <c r="A593" s="0" t="s">
        <v>8</v>
      </c>
      <c r="B593" s="0" t="s">
        <v>9</v>
      </c>
      <c r="C593" s="0" t="str">
        <f aca="false">"131-142"</f>
        <v>131-142</v>
      </c>
      <c r="D593" s="0" t="s">
        <v>9</v>
      </c>
      <c r="E593" s="0" t="str">
        <f aca="false">"230-241"</f>
        <v>230-241</v>
      </c>
      <c r="F593" s="0" t="s">
        <v>613</v>
      </c>
      <c r="G593" s="0" t="s">
        <v>9</v>
      </c>
      <c r="H593" s="0" t="str">
        <f aca="false">"21-32"</f>
        <v>21-32</v>
      </c>
      <c r="I593" s="0" t="s">
        <v>9</v>
      </c>
      <c r="J593" s="0" t="str">
        <f aca="false">"37-48"</f>
        <v>37-48</v>
      </c>
      <c r="K593" s="0" t="str">
        <f aca="false">"1.04"</f>
        <v>1.04</v>
      </c>
      <c r="L593" s="0" t="str">
        <f aca="false">"10.09"</f>
        <v>10.09</v>
      </c>
      <c r="M593" s="0" t="str">
        <f aca="false">"-165.6"</f>
        <v>-165.6</v>
      </c>
    </row>
    <row r="594" customFormat="false" ht="12.8" hidden="false" customHeight="false" outlineLevel="0" collapsed="false">
      <c r="A594" s="0" t="s">
        <v>8</v>
      </c>
      <c r="B594" s="0" t="s">
        <v>9</v>
      </c>
      <c r="C594" s="0" t="str">
        <f aca="false">"134-145"</f>
        <v>134-145</v>
      </c>
      <c r="D594" s="0" t="s">
        <v>9</v>
      </c>
      <c r="E594" s="0" t="str">
        <f aca="false">"230-241"</f>
        <v>230-241</v>
      </c>
      <c r="F594" s="0" t="s">
        <v>614</v>
      </c>
      <c r="G594" s="0" t="s">
        <v>9</v>
      </c>
      <c r="H594" s="0" t="str">
        <f aca="false">"57-68"</f>
        <v>57-68</v>
      </c>
      <c r="I594" s="0" t="s">
        <v>9</v>
      </c>
      <c r="J594" s="0" t="str">
        <f aca="false">"74-85"</f>
        <v>74-85</v>
      </c>
      <c r="K594" s="0" t="str">
        <f aca="false">"1.17"</f>
        <v>1.17</v>
      </c>
      <c r="L594" s="0" t="str">
        <f aca="false">"8.90"</f>
        <v>8.90</v>
      </c>
      <c r="M594" s="0" t="str">
        <f aca="false">"-164.9"</f>
        <v>-164.9</v>
      </c>
    </row>
    <row r="595" customFormat="false" ht="12.8" hidden="false" customHeight="false" outlineLevel="0" collapsed="false">
      <c r="A595" s="0" t="s">
        <v>8</v>
      </c>
      <c r="B595" s="0" t="s">
        <v>9</v>
      </c>
      <c r="C595" s="0" t="str">
        <f aca="false">"131-142"</f>
        <v>131-142</v>
      </c>
      <c r="D595" s="0" t="s">
        <v>9</v>
      </c>
      <c r="E595" s="0" t="str">
        <f aca="false">"230-241"</f>
        <v>230-241</v>
      </c>
      <c r="F595" s="0" t="s">
        <v>615</v>
      </c>
      <c r="G595" s="0" t="s">
        <v>9</v>
      </c>
      <c r="H595" s="0" t="str">
        <f aca="false">"1230-1241"</f>
        <v>1230-1241</v>
      </c>
      <c r="I595" s="0" t="s">
        <v>9</v>
      </c>
      <c r="J595" s="0" t="str">
        <f aca="false">"1246-1257"</f>
        <v>1246-1257</v>
      </c>
      <c r="K595" s="0" t="str">
        <f aca="false">"0.79"</f>
        <v>0.79</v>
      </c>
      <c r="L595" s="0" t="str">
        <f aca="false">"10.35"</f>
        <v>10.35</v>
      </c>
      <c r="M595" s="0" t="str">
        <f aca="false">"-153.8"</f>
        <v>-153.8</v>
      </c>
    </row>
    <row r="596" customFormat="false" ht="12.8" hidden="false" customHeight="false" outlineLevel="0" collapsed="false">
      <c r="A596" s="0" t="s">
        <v>8</v>
      </c>
      <c r="B596" s="0" t="s">
        <v>9</v>
      </c>
      <c r="C596" s="0" t="str">
        <f aca="false">"134-145"</f>
        <v>134-145</v>
      </c>
      <c r="D596" s="0" t="s">
        <v>9</v>
      </c>
      <c r="E596" s="0" t="str">
        <f aca="false">"230-241"</f>
        <v>230-241</v>
      </c>
      <c r="F596" s="0" t="s">
        <v>616</v>
      </c>
      <c r="G596" s="0" t="s">
        <v>9</v>
      </c>
      <c r="H596" s="0" t="str">
        <f aca="false">"93-104"</f>
        <v>93-104</v>
      </c>
      <c r="I596" s="0" t="s">
        <v>9</v>
      </c>
      <c r="J596" s="0" t="str">
        <f aca="false">"16-27"</f>
        <v>16-27</v>
      </c>
      <c r="K596" s="0" t="str">
        <f aca="false">"0.47"</f>
        <v>0.47</v>
      </c>
      <c r="L596" s="0" t="str">
        <f aca="false">"9.88"</f>
        <v>9.88</v>
      </c>
      <c r="M596" s="0" t="str">
        <f aca="false">"-149.1"</f>
        <v>-149.1</v>
      </c>
    </row>
    <row r="597" customFormat="false" ht="12.8" hidden="false" customHeight="false" outlineLevel="0" collapsed="false">
      <c r="A597" s="0" t="s">
        <v>8</v>
      </c>
      <c r="B597" s="0" t="s">
        <v>9</v>
      </c>
      <c r="C597" s="0" t="str">
        <f aca="false">"132-143"</f>
        <v>132-143</v>
      </c>
      <c r="D597" s="0" t="s">
        <v>9</v>
      </c>
      <c r="E597" s="0" t="str">
        <f aca="false">"229-240"</f>
        <v>229-240</v>
      </c>
      <c r="F597" s="0" t="s">
        <v>617</v>
      </c>
      <c r="G597" s="0" t="s">
        <v>13</v>
      </c>
      <c r="H597" s="0" t="str">
        <f aca="false">"270-281"</f>
        <v>270-281</v>
      </c>
      <c r="I597" s="0" t="s">
        <v>13</v>
      </c>
      <c r="J597" s="0" t="str">
        <f aca="false">"235-246"</f>
        <v>235-246</v>
      </c>
      <c r="K597" s="0" t="str">
        <f aca="false">"0.85"</f>
        <v>0.85</v>
      </c>
      <c r="L597" s="0" t="str">
        <f aca="false">"8.76"</f>
        <v>8.76</v>
      </c>
      <c r="M597" s="0" t="str">
        <f aca="false">"-156.6"</f>
        <v>-156.6</v>
      </c>
    </row>
    <row r="598" customFormat="false" ht="12.8" hidden="false" customHeight="false" outlineLevel="0" collapsed="false">
      <c r="A598" s="0" t="s">
        <v>8</v>
      </c>
      <c r="B598" s="0" t="s">
        <v>9</v>
      </c>
      <c r="C598" s="0" t="str">
        <f aca="false">"134-145"</f>
        <v>134-145</v>
      </c>
      <c r="D598" s="0" t="s">
        <v>9</v>
      </c>
      <c r="E598" s="0" t="str">
        <f aca="false">"229-240"</f>
        <v>229-240</v>
      </c>
      <c r="F598" s="0" t="s">
        <v>618</v>
      </c>
      <c r="G598" s="0" t="s">
        <v>9</v>
      </c>
      <c r="H598" s="0" t="str">
        <f aca="false">"350-361"</f>
        <v>350-361</v>
      </c>
      <c r="I598" s="0" t="s">
        <v>9</v>
      </c>
      <c r="J598" s="0" t="str">
        <f aca="false">"369-380"</f>
        <v>369-380</v>
      </c>
      <c r="K598" s="0" t="str">
        <f aca="false">"1.23"</f>
        <v>1.23</v>
      </c>
      <c r="L598" s="0" t="str">
        <f aca="false">"9.19"</f>
        <v>9.19</v>
      </c>
      <c r="M598" s="0" t="str">
        <f aca="false">"-165.4"</f>
        <v>-165.4</v>
      </c>
    </row>
    <row r="599" customFormat="false" ht="12.8" hidden="false" customHeight="false" outlineLevel="0" collapsed="false">
      <c r="A599" s="0" t="s">
        <v>8</v>
      </c>
      <c r="B599" s="0" t="s">
        <v>9</v>
      </c>
      <c r="C599" s="0" t="str">
        <f aca="false">"135-146"</f>
        <v>135-146</v>
      </c>
      <c r="D599" s="0" t="s">
        <v>9</v>
      </c>
      <c r="E599" s="0" t="str">
        <f aca="false">"227-238"</f>
        <v>227-238</v>
      </c>
      <c r="F599" s="0" t="s">
        <v>619</v>
      </c>
      <c r="G599" s="0" t="s">
        <v>9</v>
      </c>
      <c r="H599" s="0" t="str">
        <f aca="false">"114-125"</f>
        <v>114-125</v>
      </c>
      <c r="I599" s="0" t="s">
        <v>9</v>
      </c>
      <c r="J599" s="0" t="str">
        <f aca="false">"131-142"</f>
        <v>131-142</v>
      </c>
      <c r="K599" s="0" t="str">
        <f aca="false">"0.82"</f>
        <v>0.82</v>
      </c>
      <c r="L599" s="0" t="str">
        <f aca="false">"9.61"</f>
        <v>9.61</v>
      </c>
      <c r="M599" s="0" t="str">
        <f aca="false">"-148.0"</f>
        <v>-148.0</v>
      </c>
    </row>
    <row r="600" customFormat="false" ht="12.8" hidden="false" customHeight="false" outlineLevel="0" collapsed="false">
      <c r="A600" s="0" t="s">
        <v>8</v>
      </c>
      <c r="B600" s="0" t="s">
        <v>9</v>
      </c>
      <c r="C600" s="0" t="str">
        <f aca="false">"133-144"</f>
        <v>133-144</v>
      </c>
      <c r="D600" s="0" t="s">
        <v>9</v>
      </c>
      <c r="E600" s="0" t="str">
        <f aca="false">"230-241"</f>
        <v>230-241</v>
      </c>
      <c r="F600" s="0" t="s">
        <v>620</v>
      </c>
      <c r="G600" s="0" t="s">
        <v>9</v>
      </c>
      <c r="H600" s="0" t="str">
        <f aca="false">"67-78"</f>
        <v>67-78</v>
      </c>
      <c r="I600" s="0" t="s">
        <v>9</v>
      </c>
      <c r="J600" s="0" t="str">
        <f aca="false">"81-92"</f>
        <v>81-92</v>
      </c>
      <c r="K600" s="0" t="str">
        <f aca="false">"1.00"</f>
        <v>1.00</v>
      </c>
      <c r="L600" s="0" t="str">
        <f aca="false">"9.57"</f>
        <v>9.57</v>
      </c>
      <c r="M600" s="0" t="str">
        <f aca="false">"-153.2"</f>
        <v>-153.2</v>
      </c>
    </row>
    <row r="601" customFormat="false" ht="12.8" hidden="false" customHeight="false" outlineLevel="0" collapsed="false">
      <c r="A601" s="0" t="s">
        <v>8</v>
      </c>
      <c r="B601" s="0" t="s">
        <v>9</v>
      </c>
      <c r="C601" s="0" t="str">
        <f aca="false">"131-142"</f>
        <v>131-142</v>
      </c>
      <c r="D601" s="0" t="s">
        <v>9</v>
      </c>
      <c r="E601" s="0" t="str">
        <f aca="false">"230-241"</f>
        <v>230-241</v>
      </c>
      <c r="F601" s="0" t="s">
        <v>621</v>
      </c>
      <c r="G601" s="0" t="s">
        <v>9</v>
      </c>
      <c r="H601" s="0" t="str">
        <f aca="false">"251-262"</f>
        <v>251-262</v>
      </c>
      <c r="I601" s="0" t="s">
        <v>9</v>
      </c>
      <c r="J601" s="0" t="str">
        <f aca="false">"267-278"</f>
        <v>267-278</v>
      </c>
      <c r="K601" s="0" t="str">
        <f aca="false">"0.67"</f>
        <v>0.67</v>
      </c>
      <c r="L601" s="0" t="str">
        <f aca="false">"9.51"</f>
        <v>9.51</v>
      </c>
      <c r="M601" s="0" t="str">
        <f aca="false">"-156.3"</f>
        <v>-156.3</v>
      </c>
    </row>
    <row r="602" customFormat="false" ht="12.8" hidden="false" customHeight="false" outlineLevel="0" collapsed="false">
      <c r="A602" s="0" t="s">
        <v>8</v>
      </c>
      <c r="B602" s="0" t="s">
        <v>9</v>
      </c>
      <c r="C602" s="0" t="str">
        <f aca="false">"134-145"</f>
        <v>134-145</v>
      </c>
      <c r="D602" s="0" t="s">
        <v>9</v>
      </c>
      <c r="E602" s="0" t="str">
        <f aca="false">"227-238"</f>
        <v>227-238</v>
      </c>
      <c r="F602" s="0" t="s">
        <v>622</v>
      </c>
      <c r="G602" s="0" t="s">
        <v>9</v>
      </c>
      <c r="H602" s="0" t="str">
        <f aca="false">"88-99"</f>
        <v>88-99</v>
      </c>
      <c r="I602" s="0" t="s">
        <v>9</v>
      </c>
      <c r="J602" s="0" t="str">
        <f aca="false">"106-117"</f>
        <v>106-117</v>
      </c>
      <c r="K602" s="0" t="str">
        <f aca="false">"0.82"</f>
        <v>0.82</v>
      </c>
      <c r="L602" s="0" t="str">
        <f aca="false">"9.06"</f>
        <v>9.06</v>
      </c>
      <c r="M602" s="0" t="str">
        <f aca="false">"-146.6"</f>
        <v>-146.6</v>
      </c>
    </row>
    <row r="603" customFormat="false" ht="12.8" hidden="false" customHeight="false" outlineLevel="0" collapsed="false">
      <c r="A603" s="0" t="s">
        <v>8</v>
      </c>
      <c r="B603" s="0" t="s">
        <v>9</v>
      </c>
      <c r="C603" s="0" t="str">
        <f aca="false">"134-145"</f>
        <v>134-145</v>
      </c>
      <c r="D603" s="0" t="s">
        <v>9</v>
      </c>
      <c r="E603" s="0" t="str">
        <f aca="false">"229-240"</f>
        <v>229-240</v>
      </c>
      <c r="F603" s="0" t="s">
        <v>623</v>
      </c>
      <c r="G603" s="0" t="s">
        <v>9</v>
      </c>
      <c r="H603" s="0" t="str">
        <f aca="false">"184-195"</f>
        <v>184-195</v>
      </c>
      <c r="I603" s="0" t="s">
        <v>9</v>
      </c>
      <c r="J603" s="0" t="str">
        <f aca="false">"203-214"</f>
        <v>203-214</v>
      </c>
      <c r="K603" s="0" t="str">
        <f aca="false">"1.20"</f>
        <v>1.20</v>
      </c>
      <c r="L603" s="0" t="str">
        <f aca="false">"8.86"</f>
        <v>8.86</v>
      </c>
      <c r="M603" s="0" t="str">
        <f aca="false">"-160.1"</f>
        <v>-160.1</v>
      </c>
    </row>
    <row r="604" customFormat="false" ht="12.8" hidden="false" customHeight="false" outlineLevel="0" collapsed="false">
      <c r="A604" s="0" t="s">
        <v>8</v>
      </c>
      <c r="B604" s="0" t="s">
        <v>9</v>
      </c>
      <c r="C604" s="0" t="str">
        <f aca="false">"135-146"</f>
        <v>135-146</v>
      </c>
      <c r="D604" s="0" t="s">
        <v>9</v>
      </c>
      <c r="E604" s="0" t="str">
        <f aca="false">"226-237"</f>
        <v>226-237</v>
      </c>
      <c r="F604" s="0" t="s">
        <v>624</v>
      </c>
      <c r="G604" s="0" t="s">
        <v>9</v>
      </c>
      <c r="H604" s="0" t="str">
        <f aca="false">"71-82"</f>
        <v>71-82</v>
      </c>
      <c r="I604" s="0" t="s">
        <v>9</v>
      </c>
      <c r="J604" s="0" t="str">
        <f aca="false">"49-60"</f>
        <v>49-60</v>
      </c>
      <c r="K604" s="0" t="str">
        <f aca="false">"0.89"</f>
        <v>0.89</v>
      </c>
      <c r="L604" s="0" t="str">
        <f aca="false">"8.91"</f>
        <v>8.91</v>
      </c>
      <c r="M604" s="0" t="str">
        <f aca="false">"-149.9"</f>
        <v>-149.9</v>
      </c>
    </row>
    <row r="605" customFormat="false" ht="12.8" hidden="false" customHeight="false" outlineLevel="0" collapsed="false">
      <c r="A605" s="0" t="s">
        <v>8</v>
      </c>
      <c r="B605" s="0" t="s">
        <v>9</v>
      </c>
      <c r="C605" s="0" t="str">
        <f aca="false">"131-142"</f>
        <v>131-142</v>
      </c>
      <c r="D605" s="0" t="s">
        <v>9</v>
      </c>
      <c r="E605" s="0" t="str">
        <f aca="false">"230-241"</f>
        <v>230-241</v>
      </c>
      <c r="F605" s="0" t="s">
        <v>625</v>
      </c>
      <c r="G605" s="0" t="s">
        <v>13</v>
      </c>
      <c r="H605" s="0" t="str">
        <f aca="false">"116-127"</f>
        <v>116-127</v>
      </c>
      <c r="I605" s="0" t="s">
        <v>13</v>
      </c>
      <c r="J605" s="0" t="str">
        <f aca="false">"133-144"</f>
        <v>133-144</v>
      </c>
      <c r="K605" s="0" t="str">
        <f aca="false">"1.07"</f>
        <v>1.07</v>
      </c>
      <c r="L605" s="0" t="str">
        <f aca="false">"9.18"</f>
        <v>9.18</v>
      </c>
      <c r="M605" s="0" t="str">
        <f aca="false">"-166.9"</f>
        <v>-166.9</v>
      </c>
    </row>
    <row r="606" customFormat="false" ht="12.8" hidden="false" customHeight="false" outlineLevel="0" collapsed="false">
      <c r="A606" s="0" t="s">
        <v>8</v>
      </c>
      <c r="B606" s="0" t="s">
        <v>9</v>
      </c>
      <c r="C606" s="0" t="str">
        <f aca="false">"135-146"</f>
        <v>135-146</v>
      </c>
      <c r="D606" s="0" t="s">
        <v>9</v>
      </c>
      <c r="E606" s="0" t="str">
        <f aca="false">"226-237"</f>
        <v>226-237</v>
      </c>
      <c r="F606" s="0" t="s">
        <v>626</v>
      </c>
      <c r="G606" s="0" t="s">
        <v>9</v>
      </c>
      <c r="H606" s="0" t="str">
        <f aca="false">"120-131"</f>
        <v>120-131</v>
      </c>
      <c r="I606" s="0" t="s">
        <v>9</v>
      </c>
      <c r="J606" s="0" t="str">
        <f aca="false">"93-104"</f>
        <v>93-104</v>
      </c>
      <c r="K606" s="0" t="str">
        <f aca="false">"0.61"</f>
        <v>0.61</v>
      </c>
      <c r="L606" s="0" t="str">
        <f aca="false">"10.11"</f>
        <v>10.11</v>
      </c>
      <c r="M606" s="0" t="str">
        <f aca="false">"-156.1"</f>
        <v>-156.1</v>
      </c>
    </row>
    <row r="607" customFormat="false" ht="12.8" hidden="false" customHeight="false" outlineLevel="0" collapsed="false">
      <c r="A607" s="0" t="s">
        <v>8</v>
      </c>
      <c r="B607" s="0" t="s">
        <v>9</v>
      </c>
      <c r="C607" s="0" t="str">
        <f aca="false">"134-145"</f>
        <v>134-145</v>
      </c>
      <c r="D607" s="0" t="s">
        <v>9</v>
      </c>
      <c r="E607" s="0" t="str">
        <f aca="false">"227-238"</f>
        <v>227-238</v>
      </c>
      <c r="F607" s="0" t="s">
        <v>627</v>
      </c>
      <c r="G607" s="0" t="s">
        <v>9</v>
      </c>
      <c r="H607" s="0" t="str">
        <f aca="false">"90-101"</f>
        <v>90-101</v>
      </c>
      <c r="I607" s="0" t="s">
        <v>9</v>
      </c>
      <c r="J607" s="0" t="str">
        <f aca="false">"108-119"</f>
        <v>108-119</v>
      </c>
      <c r="K607" s="0" t="str">
        <f aca="false">"0.87"</f>
        <v>0.87</v>
      </c>
      <c r="L607" s="0" t="str">
        <f aca="false">"9.89"</f>
        <v>9.89</v>
      </c>
      <c r="M607" s="0" t="str">
        <f aca="false">"-154.2"</f>
        <v>-154.2</v>
      </c>
    </row>
    <row r="608" customFormat="false" ht="12.8" hidden="false" customHeight="false" outlineLevel="0" collapsed="false">
      <c r="A608" s="0" t="s">
        <v>8</v>
      </c>
      <c r="B608" s="0" t="s">
        <v>9</v>
      </c>
      <c r="C608" s="0" t="str">
        <f aca="false">"132-143"</f>
        <v>132-143</v>
      </c>
      <c r="D608" s="0" t="s">
        <v>9</v>
      </c>
      <c r="E608" s="0" t="str">
        <f aca="false">"231-242"</f>
        <v>231-242</v>
      </c>
      <c r="F608" s="0" t="s">
        <v>628</v>
      </c>
      <c r="G608" s="0" t="s">
        <v>9</v>
      </c>
      <c r="H608" s="0" t="str">
        <f aca="false">"183-194"</f>
        <v>183-194</v>
      </c>
      <c r="I608" s="0" t="s">
        <v>9</v>
      </c>
      <c r="J608" s="0" t="str">
        <f aca="false">"200-211"</f>
        <v>200-211</v>
      </c>
      <c r="K608" s="0" t="str">
        <f aca="false">"1.20"</f>
        <v>1.20</v>
      </c>
      <c r="L608" s="0" t="str">
        <f aca="false">"9.94"</f>
        <v>9.94</v>
      </c>
      <c r="M608" s="0" t="str">
        <f aca="false">"-157.3"</f>
        <v>-157.3</v>
      </c>
    </row>
    <row r="609" customFormat="false" ht="12.8" hidden="false" customHeight="false" outlineLevel="0" collapsed="false">
      <c r="A609" s="0" t="s">
        <v>8</v>
      </c>
      <c r="B609" s="0" t="s">
        <v>9</v>
      </c>
      <c r="C609" s="0" t="str">
        <f aca="false">"134-145"</f>
        <v>134-145</v>
      </c>
      <c r="D609" s="0" t="s">
        <v>9</v>
      </c>
      <c r="E609" s="0" t="str">
        <f aca="false">"229-240"</f>
        <v>229-240</v>
      </c>
      <c r="F609" s="0" t="s">
        <v>629</v>
      </c>
      <c r="G609" s="0" t="s">
        <v>9</v>
      </c>
      <c r="H609" s="0" t="str">
        <f aca="false">"307-318"</f>
        <v>307-318</v>
      </c>
      <c r="I609" s="0" t="s">
        <v>9</v>
      </c>
      <c r="J609" s="0" t="str">
        <f aca="false">"291-302"</f>
        <v>291-302</v>
      </c>
      <c r="K609" s="0" t="str">
        <f aca="false">"1.16"</f>
        <v>1.16</v>
      </c>
      <c r="L609" s="0" t="str">
        <f aca="false">"8.40"</f>
        <v>8.40</v>
      </c>
      <c r="M609" s="0" t="str">
        <f aca="false">"-154.7"</f>
        <v>-154.7</v>
      </c>
    </row>
    <row r="610" customFormat="false" ht="12.8" hidden="false" customHeight="false" outlineLevel="0" collapsed="false">
      <c r="A610" s="0" t="s">
        <v>8</v>
      </c>
      <c r="B610" s="0" t="s">
        <v>9</v>
      </c>
      <c r="C610" s="0" t="str">
        <f aca="false">"134-145"</f>
        <v>134-145</v>
      </c>
      <c r="D610" s="0" t="s">
        <v>9</v>
      </c>
      <c r="E610" s="0" t="str">
        <f aca="false">"227-238"</f>
        <v>227-238</v>
      </c>
      <c r="F610" s="0" t="s">
        <v>630</v>
      </c>
      <c r="G610" s="0" t="s">
        <v>9</v>
      </c>
      <c r="H610" s="0" t="str">
        <f aca="false">"165-176"</f>
        <v>165-176</v>
      </c>
      <c r="I610" s="0" t="s">
        <v>9</v>
      </c>
      <c r="J610" s="0" t="str">
        <f aca="false">"68-79"</f>
        <v>68-79</v>
      </c>
      <c r="K610" s="0" t="str">
        <f aca="false">"0.96"</f>
        <v>0.96</v>
      </c>
      <c r="L610" s="0" t="str">
        <f aca="false">"10.00"</f>
        <v>10.00</v>
      </c>
      <c r="M610" s="0" t="str">
        <f aca="false">"-167.6"</f>
        <v>-167.6</v>
      </c>
    </row>
    <row r="611" customFormat="false" ht="12.8" hidden="false" customHeight="false" outlineLevel="0" collapsed="false">
      <c r="A611" s="0" t="s">
        <v>8</v>
      </c>
      <c r="B611" s="0" t="s">
        <v>9</v>
      </c>
      <c r="C611" s="0" t="str">
        <f aca="false">"134-145"</f>
        <v>134-145</v>
      </c>
      <c r="D611" s="0" t="s">
        <v>9</v>
      </c>
      <c r="E611" s="0" t="str">
        <f aca="false">"231-242"</f>
        <v>231-242</v>
      </c>
      <c r="F611" s="0" t="s">
        <v>631</v>
      </c>
      <c r="G611" s="0" t="s">
        <v>9</v>
      </c>
      <c r="H611" s="0" t="str">
        <f aca="false">"404-415"</f>
        <v>404-415</v>
      </c>
      <c r="I611" s="0" t="s">
        <v>9</v>
      </c>
      <c r="J611" s="0" t="str">
        <f aca="false">"347-358"</f>
        <v>347-358</v>
      </c>
      <c r="K611" s="0" t="str">
        <f aca="false">"0.75"</f>
        <v>0.75</v>
      </c>
      <c r="L611" s="0" t="str">
        <f aca="false">"10.00"</f>
        <v>10.00</v>
      </c>
      <c r="M611" s="0" t="str">
        <f aca="false">"-160.5"</f>
        <v>-160.5</v>
      </c>
    </row>
    <row r="612" customFormat="false" ht="12.8" hidden="false" customHeight="false" outlineLevel="0" collapsed="false">
      <c r="A612" s="0" t="s">
        <v>8</v>
      </c>
      <c r="B612" s="0" t="s">
        <v>9</v>
      </c>
      <c r="C612" s="0" t="str">
        <f aca="false">"128-139"</f>
        <v>128-139</v>
      </c>
      <c r="D612" s="0" t="s">
        <v>9</v>
      </c>
      <c r="E612" s="0" t="str">
        <f aca="false">"234-245"</f>
        <v>234-245</v>
      </c>
      <c r="F612" s="0" t="s">
        <v>632</v>
      </c>
      <c r="G612" s="0" t="s">
        <v>9</v>
      </c>
      <c r="H612" s="0" t="str">
        <f aca="false">"151-162"</f>
        <v>151-162</v>
      </c>
      <c r="I612" s="0" t="s">
        <v>9</v>
      </c>
      <c r="J612" s="0" t="str">
        <f aca="false">"167-178"</f>
        <v>167-178</v>
      </c>
      <c r="K612" s="0" t="str">
        <f aca="false">"1.08"</f>
        <v>1.08</v>
      </c>
      <c r="L612" s="0" t="str">
        <f aca="false">"9.05"</f>
        <v>9.05</v>
      </c>
      <c r="M612" s="0" t="str">
        <f aca="false">"-158.3"</f>
        <v>-158.3</v>
      </c>
    </row>
    <row r="613" customFormat="false" ht="12.8" hidden="false" customHeight="false" outlineLevel="0" collapsed="false">
      <c r="A613" s="0" t="s">
        <v>8</v>
      </c>
      <c r="B613" s="0" t="s">
        <v>9</v>
      </c>
      <c r="C613" s="0" t="str">
        <f aca="false">"134-145"</f>
        <v>134-145</v>
      </c>
      <c r="D613" s="0" t="s">
        <v>9</v>
      </c>
      <c r="E613" s="0" t="str">
        <f aca="false">"230-241"</f>
        <v>230-241</v>
      </c>
      <c r="F613" s="0" t="s">
        <v>633</v>
      </c>
      <c r="G613" s="0" t="s">
        <v>70</v>
      </c>
      <c r="H613" s="0" t="str">
        <f aca="false">"137-148"</f>
        <v>137-148</v>
      </c>
      <c r="I613" s="0" t="s">
        <v>70</v>
      </c>
      <c r="J613" s="0" t="str">
        <f aca="false">"38-49"</f>
        <v>38-49</v>
      </c>
      <c r="K613" s="0" t="str">
        <f aca="false">"0.98"</f>
        <v>0.98</v>
      </c>
      <c r="L613" s="0" t="str">
        <f aca="false">"10.96"</f>
        <v>10.96</v>
      </c>
      <c r="M613" s="0" t="str">
        <f aca="false">"-164.5"</f>
        <v>-164.5</v>
      </c>
    </row>
    <row r="614" customFormat="false" ht="12.8" hidden="false" customHeight="false" outlineLevel="0" collapsed="false">
      <c r="A614" s="0" t="s">
        <v>8</v>
      </c>
      <c r="B614" s="0" t="s">
        <v>9</v>
      </c>
      <c r="C614" s="0" t="str">
        <f aca="false">"131-142"</f>
        <v>131-142</v>
      </c>
      <c r="D614" s="0" t="s">
        <v>9</v>
      </c>
      <c r="E614" s="0" t="str">
        <f aca="false">"230-241"</f>
        <v>230-241</v>
      </c>
      <c r="F614" s="0" t="s">
        <v>634</v>
      </c>
      <c r="G614" s="0" t="s">
        <v>9</v>
      </c>
      <c r="H614" s="0" t="str">
        <f aca="false">"319-330"</f>
        <v>319-330</v>
      </c>
      <c r="I614" s="0" t="s">
        <v>9</v>
      </c>
      <c r="J614" s="0" t="str">
        <f aca="false">"335-346"</f>
        <v>335-346</v>
      </c>
      <c r="K614" s="0" t="str">
        <f aca="false">"0.74"</f>
        <v>0.74</v>
      </c>
      <c r="L614" s="0" t="str">
        <f aca="false">"9.21"</f>
        <v>9.21</v>
      </c>
      <c r="M614" s="0" t="str">
        <f aca="false">"-155.2"</f>
        <v>-155.2</v>
      </c>
    </row>
    <row r="615" customFormat="false" ht="12.8" hidden="false" customHeight="false" outlineLevel="0" collapsed="false">
      <c r="A615" s="0" t="s">
        <v>8</v>
      </c>
      <c r="B615" s="0" t="s">
        <v>9</v>
      </c>
      <c r="C615" s="0" t="str">
        <f aca="false">"129-140"</f>
        <v>129-140</v>
      </c>
      <c r="D615" s="0" t="s">
        <v>9</v>
      </c>
      <c r="E615" s="0" t="str">
        <f aca="false">"234-245"</f>
        <v>234-245</v>
      </c>
      <c r="F615" s="0" t="s">
        <v>635</v>
      </c>
      <c r="G615" s="0" t="s">
        <v>13</v>
      </c>
      <c r="H615" s="0" t="str">
        <f aca="false">"61-72"</f>
        <v>61-72</v>
      </c>
      <c r="I615" s="0" t="s">
        <v>13</v>
      </c>
      <c r="J615" s="0" t="str">
        <f aca="false">"79-90"</f>
        <v>79-90</v>
      </c>
      <c r="K615" s="0" t="str">
        <f aca="false">"1.13"</f>
        <v>1.13</v>
      </c>
      <c r="L615" s="0" t="str">
        <f aca="false">"10.63"</f>
        <v>10.63</v>
      </c>
      <c r="M615" s="0" t="str">
        <f aca="false">"-163.7"</f>
        <v>-163.7</v>
      </c>
    </row>
    <row r="616" customFormat="false" ht="12.8" hidden="false" customHeight="false" outlineLevel="0" collapsed="false">
      <c r="A616" s="0" t="s">
        <v>8</v>
      </c>
      <c r="B616" s="0" t="s">
        <v>9</v>
      </c>
      <c r="C616" s="0" t="str">
        <f aca="false">"135-146"</f>
        <v>135-146</v>
      </c>
      <c r="D616" s="0" t="s">
        <v>9</v>
      </c>
      <c r="E616" s="0" t="str">
        <f aca="false">"226-237"</f>
        <v>226-237</v>
      </c>
      <c r="F616" s="0" t="s">
        <v>636</v>
      </c>
      <c r="G616" s="0" t="s">
        <v>9</v>
      </c>
      <c r="H616" s="0" t="str">
        <f aca="false">"16-27"</f>
        <v>16-27</v>
      </c>
      <c r="I616" s="0" t="s">
        <v>9</v>
      </c>
      <c r="J616" s="0" t="str">
        <f aca="false">"82-93"</f>
        <v>82-93</v>
      </c>
      <c r="K616" s="0" t="str">
        <f aca="false">"0.96"</f>
        <v>0.96</v>
      </c>
      <c r="L616" s="0" t="str">
        <f aca="false">"9.28"</f>
        <v>9.28</v>
      </c>
      <c r="M616" s="0" t="str">
        <f aca="false">"-160.3"</f>
        <v>-160.3</v>
      </c>
    </row>
    <row r="617" customFormat="false" ht="12.8" hidden="false" customHeight="false" outlineLevel="0" collapsed="false">
      <c r="A617" s="0" t="s">
        <v>8</v>
      </c>
      <c r="B617" s="0" t="s">
        <v>9</v>
      </c>
      <c r="C617" s="0" t="str">
        <f aca="false">"131-142"</f>
        <v>131-142</v>
      </c>
      <c r="D617" s="0" t="s">
        <v>9</v>
      </c>
      <c r="E617" s="0" t="str">
        <f aca="false">"232-243"</f>
        <v>232-243</v>
      </c>
      <c r="F617" s="0" t="s">
        <v>637</v>
      </c>
      <c r="G617" s="0" t="s">
        <v>9</v>
      </c>
      <c r="H617" s="0" t="str">
        <f aca="false">"178-189"</f>
        <v>178-189</v>
      </c>
      <c r="I617" s="0" t="s">
        <v>9</v>
      </c>
      <c r="J617" s="0" t="str">
        <f aca="false">"214-225"</f>
        <v>214-225</v>
      </c>
      <c r="K617" s="0" t="str">
        <f aca="false">"0.90"</f>
        <v>0.90</v>
      </c>
      <c r="L617" s="0" t="str">
        <f aca="false">"10.63"</f>
        <v>10.63</v>
      </c>
      <c r="M617" s="0" t="str">
        <f aca="false">"-149.0"</f>
        <v>-149.0</v>
      </c>
    </row>
    <row r="618" customFormat="false" ht="12.8" hidden="false" customHeight="false" outlineLevel="0" collapsed="false">
      <c r="A618" s="0" t="s">
        <v>8</v>
      </c>
      <c r="B618" s="0" t="s">
        <v>9</v>
      </c>
      <c r="C618" s="0" t="str">
        <f aca="false">"129-140"</f>
        <v>129-140</v>
      </c>
      <c r="D618" s="0" t="s">
        <v>9</v>
      </c>
      <c r="E618" s="0" t="str">
        <f aca="false">"233-244"</f>
        <v>233-244</v>
      </c>
      <c r="F618" s="0" t="s">
        <v>638</v>
      </c>
      <c r="G618" s="0" t="s">
        <v>9</v>
      </c>
      <c r="H618" s="0" t="str">
        <f aca="false">"13-24"</f>
        <v>13-24</v>
      </c>
      <c r="I618" s="0" t="s">
        <v>9</v>
      </c>
      <c r="J618" s="0" t="str">
        <f aca="false">"33-44"</f>
        <v>33-44</v>
      </c>
      <c r="K618" s="0" t="str">
        <f aca="false">"1.20"</f>
        <v>1.20</v>
      </c>
      <c r="L618" s="0" t="str">
        <f aca="false">"10.98"</f>
        <v>10.98</v>
      </c>
      <c r="M618" s="0" t="str">
        <f aca="false">"-140.4"</f>
        <v>-140.4</v>
      </c>
    </row>
    <row r="619" customFormat="false" ht="12.8" hidden="false" customHeight="false" outlineLevel="0" collapsed="false">
      <c r="A619" s="0" t="s">
        <v>8</v>
      </c>
      <c r="B619" s="0" t="s">
        <v>9</v>
      </c>
      <c r="C619" s="0" t="str">
        <f aca="false">"137-148"</f>
        <v>137-148</v>
      </c>
      <c r="D619" s="0" t="s">
        <v>9</v>
      </c>
      <c r="E619" s="0" t="str">
        <f aca="false">"225-236"</f>
        <v>225-236</v>
      </c>
      <c r="F619" s="0" t="s">
        <v>639</v>
      </c>
      <c r="G619" s="0" t="s">
        <v>13</v>
      </c>
      <c r="H619" s="0" t="str">
        <f aca="false">"171-182"</f>
        <v>171-182</v>
      </c>
      <c r="I619" s="0" t="s">
        <v>9</v>
      </c>
      <c r="J619" s="0" t="str">
        <f aca="false">"171-182"</f>
        <v>171-182</v>
      </c>
      <c r="K619" s="0" t="str">
        <f aca="false">"1.17"</f>
        <v>1.17</v>
      </c>
      <c r="L619" s="0" t="str">
        <f aca="false">"8.98"</f>
        <v>8.98</v>
      </c>
      <c r="M619" s="0" t="str">
        <f aca="false">"-134.2"</f>
        <v>-134.2</v>
      </c>
    </row>
    <row r="620" customFormat="false" ht="12.8" hidden="false" customHeight="false" outlineLevel="0" collapsed="false">
      <c r="A620" s="0" t="s">
        <v>8</v>
      </c>
      <c r="B620" s="0" t="s">
        <v>9</v>
      </c>
      <c r="C620" s="0" t="str">
        <f aca="false">"137-148"</f>
        <v>137-148</v>
      </c>
      <c r="D620" s="0" t="s">
        <v>9</v>
      </c>
      <c r="E620" s="0" t="str">
        <f aca="false">"225-236"</f>
        <v>225-236</v>
      </c>
      <c r="F620" s="0" t="s">
        <v>640</v>
      </c>
      <c r="G620" s="0" t="s">
        <v>9</v>
      </c>
      <c r="H620" s="0" t="str">
        <f aca="false">"119-130"</f>
        <v>119-130</v>
      </c>
      <c r="I620" s="0" t="s">
        <v>9</v>
      </c>
      <c r="J620" s="0" t="str">
        <f aca="false">"79-90"</f>
        <v>79-90</v>
      </c>
      <c r="K620" s="0" t="str">
        <f aca="false">"1.22"</f>
        <v>1.22</v>
      </c>
      <c r="L620" s="0" t="str">
        <f aca="false">"9.13"</f>
        <v>9.13</v>
      </c>
      <c r="M620" s="0" t="str">
        <f aca="false">"-141.6"</f>
        <v>-141.6</v>
      </c>
    </row>
    <row r="621" customFormat="false" ht="12.8" hidden="false" customHeight="false" outlineLevel="0" collapsed="false">
      <c r="A621" s="0" t="s">
        <v>8</v>
      </c>
      <c r="B621" s="0" t="s">
        <v>9</v>
      </c>
      <c r="C621" s="0" t="str">
        <f aca="false">"131-142"</f>
        <v>131-142</v>
      </c>
      <c r="D621" s="0" t="s">
        <v>9</v>
      </c>
      <c r="E621" s="0" t="str">
        <f aca="false">"230-241"</f>
        <v>230-241</v>
      </c>
      <c r="F621" s="0" t="s">
        <v>641</v>
      </c>
      <c r="G621" s="0" t="s">
        <v>70</v>
      </c>
      <c r="H621" s="0" t="str">
        <f aca="false">"106-117"</f>
        <v>106-117</v>
      </c>
      <c r="I621" s="0" t="s">
        <v>70</v>
      </c>
      <c r="J621" s="0" t="str">
        <f aca="false">"122-133"</f>
        <v>122-133</v>
      </c>
      <c r="K621" s="0" t="str">
        <f aca="false">"0.94"</f>
        <v>0.94</v>
      </c>
      <c r="L621" s="0" t="str">
        <f aca="false">"9.67"</f>
        <v>9.67</v>
      </c>
      <c r="M621" s="0" t="str">
        <f aca="false">"-168.6"</f>
        <v>-168.6</v>
      </c>
    </row>
    <row r="622" customFormat="false" ht="12.8" hidden="false" customHeight="false" outlineLevel="0" collapsed="false">
      <c r="A622" s="0" t="s">
        <v>8</v>
      </c>
      <c r="B622" s="0" t="s">
        <v>9</v>
      </c>
      <c r="C622" s="0" t="str">
        <f aca="false">"135-146"</f>
        <v>135-146</v>
      </c>
      <c r="D622" s="0" t="s">
        <v>9</v>
      </c>
      <c r="E622" s="0" t="str">
        <f aca="false">"226-237"</f>
        <v>226-237</v>
      </c>
      <c r="F622" s="0" t="s">
        <v>642</v>
      </c>
      <c r="G622" s="0" t="s">
        <v>9</v>
      </c>
      <c r="H622" s="0" t="str">
        <f aca="false">"1097-1108"</f>
        <v>1097-1108</v>
      </c>
      <c r="I622" s="0" t="s">
        <v>9</v>
      </c>
      <c r="J622" s="0" t="str">
        <f aca="false">"1076-1087"</f>
        <v>1076-1087</v>
      </c>
      <c r="K622" s="0" t="str">
        <f aca="false">"0.70"</f>
        <v>0.70</v>
      </c>
      <c r="L622" s="0" t="str">
        <f aca="false">"9.83"</f>
        <v>9.83</v>
      </c>
      <c r="M622" s="0" t="str">
        <f aca="false">"-145.0"</f>
        <v>-145.0</v>
      </c>
    </row>
    <row r="623" customFormat="false" ht="12.8" hidden="false" customHeight="false" outlineLevel="0" collapsed="false">
      <c r="A623" s="0" t="s">
        <v>8</v>
      </c>
      <c r="B623" s="0" t="s">
        <v>9</v>
      </c>
      <c r="C623" s="0" t="str">
        <f aca="false">"135-146"</f>
        <v>135-146</v>
      </c>
      <c r="D623" s="0" t="s">
        <v>9</v>
      </c>
      <c r="E623" s="0" t="str">
        <f aca="false">"227-238"</f>
        <v>227-238</v>
      </c>
      <c r="F623" s="0" t="s">
        <v>643</v>
      </c>
      <c r="G623" s="0" t="s">
        <v>9</v>
      </c>
      <c r="H623" s="0" t="str">
        <f aca="false">"283-294"</f>
        <v>283-294</v>
      </c>
      <c r="I623" s="0" t="s">
        <v>9</v>
      </c>
      <c r="J623" s="0" t="str">
        <f aca="false">"300-311"</f>
        <v>300-311</v>
      </c>
      <c r="K623" s="0" t="str">
        <f aca="false">"1.12"</f>
        <v>1.12</v>
      </c>
      <c r="L623" s="0" t="str">
        <f aca="false">"10.04"</f>
        <v>10.04</v>
      </c>
      <c r="M623" s="0" t="str">
        <f aca="false">"-147.3"</f>
        <v>-147.3</v>
      </c>
    </row>
    <row r="624" customFormat="false" ht="12.8" hidden="false" customHeight="false" outlineLevel="0" collapsed="false">
      <c r="A624" s="0" t="s">
        <v>8</v>
      </c>
      <c r="B624" s="0" t="s">
        <v>9</v>
      </c>
      <c r="C624" s="0" t="str">
        <f aca="false">"130-141"</f>
        <v>130-141</v>
      </c>
      <c r="D624" s="0" t="s">
        <v>9</v>
      </c>
      <c r="E624" s="0" t="str">
        <f aca="false">"235-246"</f>
        <v>235-246</v>
      </c>
      <c r="F624" s="0" t="s">
        <v>644</v>
      </c>
      <c r="G624" s="0" t="s">
        <v>120</v>
      </c>
      <c r="H624" s="0" t="str">
        <f aca="false">"212-223"</f>
        <v>212-223</v>
      </c>
      <c r="I624" s="0" t="s">
        <v>120</v>
      </c>
      <c r="J624" s="0" t="str">
        <f aca="false">"94-105"</f>
        <v>94-105</v>
      </c>
      <c r="K624" s="0" t="str">
        <f aca="false">"1.21"</f>
        <v>1.21</v>
      </c>
      <c r="L624" s="0" t="str">
        <f aca="false">"9.47"</f>
        <v>9.47</v>
      </c>
      <c r="M624" s="0" t="str">
        <f aca="false">"-153.0"</f>
        <v>-153.0</v>
      </c>
    </row>
    <row r="625" customFormat="false" ht="12.8" hidden="false" customHeight="false" outlineLevel="0" collapsed="false">
      <c r="A625" s="0" t="s">
        <v>8</v>
      </c>
      <c r="B625" s="0" t="s">
        <v>9</v>
      </c>
      <c r="C625" s="0" t="str">
        <f aca="false">"130-141"</f>
        <v>130-141</v>
      </c>
      <c r="D625" s="0" t="s">
        <v>9</v>
      </c>
      <c r="E625" s="0" t="str">
        <f aca="false">"235-246"</f>
        <v>235-246</v>
      </c>
      <c r="F625" s="0" t="s">
        <v>645</v>
      </c>
      <c r="G625" s="0" t="s">
        <v>13</v>
      </c>
      <c r="H625" s="0" t="str">
        <f aca="false">"62-73"</f>
        <v>62-73</v>
      </c>
      <c r="I625" s="0" t="s">
        <v>13</v>
      </c>
      <c r="J625" s="0" t="str">
        <f aca="false">"9-20"</f>
        <v>9-20</v>
      </c>
      <c r="K625" s="0" t="str">
        <f aca="false">"0.69"</f>
        <v>0.69</v>
      </c>
      <c r="L625" s="0" t="str">
        <f aca="false">"10.38"</f>
        <v>10.38</v>
      </c>
      <c r="M625" s="0" t="str">
        <f aca="false">"-157.2"</f>
        <v>-157.2</v>
      </c>
    </row>
    <row r="626" customFormat="false" ht="12.8" hidden="false" customHeight="false" outlineLevel="0" collapsed="false">
      <c r="A626" s="0" t="s">
        <v>8</v>
      </c>
      <c r="B626" s="0" t="s">
        <v>9</v>
      </c>
      <c r="C626" s="0" t="str">
        <f aca="false">"130-141"</f>
        <v>130-141</v>
      </c>
      <c r="D626" s="0" t="s">
        <v>9</v>
      </c>
      <c r="E626" s="0" t="str">
        <f aca="false">"235-246"</f>
        <v>235-246</v>
      </c>
      <c r="F626" s="0" t="s">
        <v>646</v>
      </c>
      <c r="G626" s="0" t="s">
        <v>13</v>
      </c>
      <c r="H626" s="0" t="str">
        <f aca="false">"251-262"</f>
        <v>251-262</v>
      </c>
      <c r="I626" s="0" t="s">
        <v>13</v>
      </c>
      <c r="J626" s="0" t="str">
        <f aca="false">"161-172"</f>
        <v>161-172</v>
      </c>
      <c r="K626" s="0" t="str">
        <f aca="false">"1.08"</f>
        <v>1.08</v>
      </c>
      <c r="L626" s="0" t="str">
        <f aca="false">"10.19"</f>
        <v>10.19</v>
      </c>
      <c r="M626" s="0" t="str">
        <f aca="false">"-166.3"</f>
        <v>-166.3</v>
      </c>
    </row>
    <row r="627" customFormat="false" ht="12.8" hidden="false" customHeight="false" outlineLevel="0" collapsed="false">
      <c r="A627" s="0" t="s">
        <v>8</v>
      </c>
      <c r="B627" s="0" t="s">
        <v>9</v>
      </c>
      <c r="C627" s="0" t="str">
        <f aca="false">"134-145"</f>
        <v>134-145</v>
      </c>
      <c r="D627" s="0" t="s">
        <v>9</v>
      </c>
      <c r="E627" s="0" t="str">
        <f aca="false">"225-236"</f>
        <v>225-236</v>
      </c>
      <c r="F627" s="0" t="s">
        <v>647</v>
      </c>
      <c r="G627" s="0" t="s">
        <v>13</v>
      </c>
      <c r="H627" s="0" t="str">
        <f aca="false">"575-586"</f>
        <v>575-586</v>
      </c>
      <c r="I627" s="0" t="s">
        <v>13</v>
      </c>
      <c r="J627" s="0" t="str">
        <f aca="false">"603-614"</f>
        <v>603-614</v>
      </c>
      <c r="K627" s="0" t="str">
        <f aca="false">"1.11"</f>
        <v>1.11</v>
      </c>
      <c r="L627" s="0" t="str">
        <f aca="false">"10.69"</f>
        <v>10.69</v>
      </c>
      <c r="M627" s="0" t="str">
        <f aca="false">"-151.8"</f>
        <v>-151.8</v>
      </c>
    </row>
    <row r="628" customFormat="false" ht="12.8" hidden="false" customHeight="false" outlineLevel="0" collapsed="false">
      <c r="A628" s="0" t="s">
        <v>8</v>
      </c>
      <c r="B628" s="0" t="s">
        <v>9</v>
      </c>
      <c r="C628" s="0" t="str">
        <f aca="false">"127-138"</f>
        <v>127-138</v>
      </c>
      <c r="D628" s="0" t="s">
        <v>9</v>
      </c>
      <c r="E628" s="0" t="str">
        <f aca="false">"235-246"</f>
        <v>235-246</v>
      </c>
      <c r="F628" s="0" t="s">
        <v>648</v>
      </c>
      <c r="G628" s="0" t="s">
        <v>9</v>
      </c>
      <c r="H628" s="0" t="str">
        <f aca="false">"110-121"</f>
        <v>110-121</v>
      </c>
      <c r="I628" s="0" t="s">
        <v>9</v>
      </c>
      <c r="J628" s="0" t="str">
        <f aca="false">"99-110"</f>
        <v>99-110</v>
      </c>
      <c r="K628" s="0" t="str">
        <f aca="false">"1.20"</f>
        <v>1.20</v>
      </c>
      <c r="L628" s="0" t="str">
        <f aca="false">"9.64"</f>
        <v>9.64</v>
      </c>
      <c r="M628" s="0" t="str">
        <f aca="false">"-153.3"</f>
        <v>-153.3</v>
      </c>
    </row>
    <row r="629" customFormat="false" ht="12.8" hidden="false" customHeight="false" outlineLevel="0" collapsed="false">
      <c r="A629" s="0" t="s">
        <v>8</v>
      </c>
      <c r="B629" s="0" t="s">
        <v>9</v>
      </c>
      <c r="C629" s="0" t="str">
        <f aca="false">"128-139"</f>
        <v>128-139</v>
      </c>
      <c r="D629" s="0" t="s">
        <v>9</v>
      </c>
      <c r="E629" s="0" t="str">
        <f aca="false">"232-243"</f>
        <v>232-243</v>
      </c>
      <c r="F629" s="0" t="s">
        <v>649</v>
      </c>
      <c r="G629" s="0" t="s">
        <v>9</v>
      </c>
      <c r="H629" s="0" t="str">
        <f aca="false">"343-354"</f>
        <v>343-354</v>
      </c>
      <c r="I629" s="0" t="s">
        <v>9</v>
      </c>
      <c r="J629" s="0" t="str">
        <f aca="false">"361-372"</f>
        <v>361-372</v>
      </c>
      <c r="K629" s="0" t="str">
        <f aca="false">"0.68"</f>
        <v>0.68</v>
      </c>
      <c r="L629" s="0" t="str">
        <f aca="false">"10.06"</f>
        <v>10.06</v>
      </c>
      <c r="M629" s="0" t="str">
        <f aca="false">"-160.1"</f>
        <v>-160.1</v>
      </c>
    </row>
    <row r="630" customFormat="false" ht="12.8" hidden="false" customHeight="false" outlineLevel="0" collapsed="false">
      <c r="A630" s="0" t="s">
        <v>8</v>
      </c>
      <c r="B630" s="0" t="s">
        <v>9</v>
      </c>
      <c r="C630" s="0" t="str">
        <f aca="false">"131-142"</f>
        <v>131-142</v>
      </c>
      <c r="D630" s="0" t="s">
        <v>9</v>
      </c>
      <c r="E630" s="0" t="str">
        <f aca="false">"229-240"</f>
        <v>229-240</v>
      </c>
      <c r="F630" s="0" t="s">
        <v>650</v>
      </c>
      <c r="G630" s="0" t="s">
        <v>651</v>
      </c>
      <c r="H630" s="0" t="str">
        <f aca="false">"18-29"</f>
        <v>18-29</v>
      </c>
      <c r="I630" s="0" t="s">
        <v>651</v>
      </c>
      <c r="J630" s="0" t="str">
        <f aca="false">"205-216"</f>
        <v>205-216</v>
      </c>
      <c r="K630" s="0" t="str">
        <f aca="false">"1.10"</f>
        <v>1.10</v>
      </c>
      <c r="L630" s="0" t="str">
        <f aca="false">"10.96"</f>
        <v>10.96</v>
      </c>
      <c r="M630" s="0" t="str">
        <f aca="false">"-144.3"</f>
        <v>-144.3</v>
      </c>
    </row>
    <row r="631" customFormat="false" ht="12.8" hidden="false" customHeight="false" outlineLevel="0" collapsed="false">
      <c r="A631" s="0" t="s">
        <v>8</v>
      </c>
      <c r="B631" s="0" t="s">
        <v>9</v>
      </c>
      <c r="C631" s="0" t="str">
        <f aca="false">"131-142"</f>
        <v>131-142</v>
      </c>
      <c r="D631" s="0" t="s">
        <v>9</v>
      </c>
      <c r="E631" s="0" t="str">
        <f aca="false">"229-240"</f>
        <v>229-240</v>
      </c>
      <c r="F631" s="0" t="s">
        <v>652</v>
      </c>
      <c r="G631" s="0" t="s">
        <v>653</v>
      </c>
      <c r="H631" s="0" t="str">
        <f aca="false">"18-29"</f>
        <v>18-29</v>
      </c>
      <c r="I631" s="0" t="s">
        <v>653</v>
      </c>
      <c r="J631" s="0" t="str">
        <f aca="false">"205-216"</f>
        <v>205-216</v>
      </c>
      <c r="K631" s="0" t="str">
        <f aca="false">"1.10"</f>
        <v>1.10</v>
      </c>
      <c r="L631" s="0" t="str">
        <f aca="false">"10.96"</f>
        <v>10.96</v>
      </c>
      <c r="M631" s="0" t="str">
        <f aca="false">"-144.3"</f>
        <v>-144.3</v>
      </c>
    </row>
    <row r="632" customFormat="false" ht="12.8" hidden="false" customHeight="false" outlineLevel="0" collapsed="false">
      <c r="A632" s="0" t="s">
        <v>8</v>
      </c>
      <c r="B632" s="0" t="s">
        <v>9</v>
      </c>
      <c r="C632" s="0" t="str">
        <f aca="false">"131-142"</f>
        <v>131-142</v>
      </c>
      <c r="D632" s="0" t="s">
        <v>9</v>
      </c>
      <c r="E632" s="0" t="str">
        <f aca="false">"229-240"</f>
        <v>229-240</v>
      </c>
      <c r="F632" s="0" t="s">
        <v>654</v>
      </c>
      <c r="G632" s="0" t="s">
        <v>9</v>
      </c>
      <c r="H632" s="0" t="str">
        <f aca="false">"81-92"</f>
        <v>81-92</v>
      </c>
      <c r="I632" s="0" t="s">
        <v>9</v>
      </c>
      <c r="J632" s="0" t="str">
        <f aca="false">"44-55"</f>
        <v>44-55</v>
      </c>
      <c r="K632" s="0" t="str">
        <f aca="false">"0.95"</f>
        <v>0.95</v>
      </c>
      <c r="L632" s="0" t="str">
        <f aca="false">"9.86"</f>
        <v>9.86</v>
      </c>
      <c r="M632" s="0" t="str">
        <f aca="false">"-148.6"</f>
        <v>-148.6</v>
      </c>
    </row>
    <row r="633" customFormat="false" ht="12.8" hidden="false" customHeight="false" outlineLevel="0" collapsed="false">
      <c r="A633" s="0" t="s">
        <v>8</v>
      </c>
      <c r="B633" s="0" t="s">
        <v>9</v>
      </c>
      <c r="C633" s="0" t="str">
        <f aca="false">"133-144"</f>
        <v>133-144</v>
      </c>
      <c r="D633" s="0" t="s">
        <v>9</v>
      </c>
      <c r="E633" s="0" t="str">
        <f aca="false">"229-240"</f>
        <v>229-240</v>
      </c>
      <c r="F633" s="0" t="s">
        <v>655</v>
      </c>
      <c r="G633" s="0" t="s">
        <v>9</v>
      </c>
      <c r="H633" s="0" t="str">
        <f aca="false">"1156-1167"</f>
        <v>1156-1167</v>
      </c>
      <c r="I633" s="0" t="s">
        <v>9</v>
      </c>
      <c r="J633" s="0" t="str">
        <f aca="false">"1174-1185"</f>
        <v>1174-1185</v>
      </c>
      <c r="K633" s="0" t="str">
        <f aca="false">"1.13"</f>
        <v>1.13</v>
      </c>
      <c r="L633" s="0" t="str">
        <f aca="false">"10.00"</f>
        <v>10.00</v>
      </c>
      <c r="M633" s="0" t="str">
        <f aca="false">"-156.4"</f>
        <v>-156.4</v>
      </c>
    </row>
    <row r="634" customFormat="false" ht="12.8" hidden="false" customHeight="false" outlineLevel="0" collapsed="false">
      <c r="A634" s="0" t="s">
        <v>8</v>
      </c>
      <c r="B634" s="0" t="s">
        <v>9</v>
      </c>
      <c r="C634" s="0" t="str">
        <f aca="false">"131-142"</f>
        <v>131-142</v>
      </c>
      <c r="D634" s="0" t="s">
        <v>9</v>
      </c>
      <c r="E634" s="0" t="str">
        <f aca="false">"233-244"</f>
        <v>233-244</v>
      </c>
      <c r="F634" s="0" t="s">
        <v>656</v>
      </c>
      <c r="G634" s="0" t="s">
        <v>13</v>
      </c>
      <c r="H634" s="0" t="str">
        <f aca="false">"153-164"</f>
        <v>153-164</v>
      </c>
      <c r="I634" s="0" t="s">
        <v>13</v>
      </c>
      <c r="J634" s="0" t="str">
        <f aca="false">"189-200"</f>
        <v>189-200</v>
      </c>
      <c r="K634" s="0" t="str">
        <f aca="false">"1.06"</f>
        <v>1.06</v>
      </c>
      <c r="L634" s="0" t="str">
        <f aca="false">"9.48"</f>
        <v>9.48</v>
      </c>
      <c r="M634" s="0" t="str">
        <f aca="false">"-151.5"</f>
        <v>-151.5</v>
      </c>
    </row>
    <row r="635" customFormat="false" ht="12.8" hidden="false" customHeight="false" outlineLevel="0" collapsed="false">
      <c r="A635" s="0" t="s">
        <v>8</v>
      </c>
      <c r="B635" s="0" t="s">
        <v>9</v>
      </c>
      <c r="C635" s="0" t="str">
        <f aca="false">"134-145"</f>
        <v>134-145</v>
      </c>
      <c r="D635" s="0" t="s">
        <v>9</v>
      </c>
      <c r="E635" s="0" t="str">
        <f aca="false">"225-236"</f>
        <v>225-236</v>
      </c>
      <c r="F635" s="0" t="s">
        <v>657</v>
      </c>
      <c r="G635" s="0" t="s">
        <v>9</v>
      </c>
      <c r="H635" s="0" t="str">
        <f aca="false">"526-537"</f>
        <v>526-537</v>
      </c>
      <c r="I635" s="0" t="s">
        <v>9</v>
      </c>
      <c r="J635" s="0" t="str">
        <f aca="false">"546-557"</f>
        <v>546-557</v>
      </c>
      <c r="K635" s="0" t="str">
        <f aca="false">"1.07"</f>
        <v>1.07</v>
      </c>
      <c r="L635" s="0" t="str">
        <f aca="false">"9.78"</f>
        <v>9.78</v>
      </c>
      <c r="M635" s="0" t="str">
        <f aca="false">"-153.0"</f>
        <v>-153.0</v>
      </c>
    </row>
    <row r="636" customFormat="false" ht="12.8" hidden="false" customHeight="false" outlineLevel="0" collapsed="false">
      <c r="A636" s="0" t="s">
        <v>8</v>
      </c>
      <c r="B636" s="0" t="s">
        <v>9</v>
      </c>
      <c r="C636" s="0" t="str">
        <f aca="false">"131-142"</f>
        <v>131-142</v>
      </c>
      <c r="D636" s="0" t="s">
        <v>9</v>
      </c>
      <c r="E636" s="0" t="str">
        <f aca="false">"229-240"</f>
        <v>229-240</v>
      </c>
      <c r="F636" s="0" t="s">
        <v>658</v>
      </c>
      <c r="G636" s="0" t="s">
        <v>9</v>
      </c>
      <c r="H636" s="0" t="str">
        <f aca="false">"47-58"</f>
        <v>47-58</v>
      </c>
      <c r="I636" s="0" t="s">
        <v>9</v>
      </c>
      <c r="J636" s="0" t="str">
        <f aca="false">"66-77"</f>
        <v>66-77</v>
      </c>
      <c r="K636" s="0" t="str">
        <f aca="false">"1.23"</f>
        <v>1.23</v>
      </c>
      <c r="L636" s="0" t="str">
        <f aca="false">"11.27"</f>
        <v>11.27</v>
      </c>
      <c r="M636" s="0" t="str">
        <f aca="false">"-159.2"</f>
        <v>-159.2</v>
      </c>
    </row>
    <row r="637" customFormat="false" ht="12.8" hidden="false" customHeight="false" outlineLevel="0" collapsed="false">
      <c r="A637" s="0" t="s">
        <v>8</v>
      </c>
      <c r="B637" s="0" t="s">
        <v>9</v>
      </c>
      <c r="C637" s="0" t="str">
        <f aca="false">"130-141"</f>
        <v>130-141</v>
      </c>
      <c r="D637" s="0" t="s">
        <v>9</v>
      </c>
      <c r="E637" s="0" t="str">
        <f aca="false">"232-243"</f>
        <v>232-243</v>
      </c>
      <c r="F637" s="0" t="s">
        <v>659</v>
      </c>
      <c r="G637" s="0" t="s">
        <v>9</v>
      </c>
      <c r="H637" s="0" t="str">
        <f aca="false">"34-45"</f>
        <v>34-45</v>
      </c>
      <c r="I637" s="0" t="s">
        <v>9</v>
      </c>
      <c r="J637" s="0" t="str">
        <f aca="false">"76-87"</f>
        <v>76-87</v>
      </c>
      <c r="K637" s="0" t="str">
        <f aca="false">"0.94"</f>
        <v>0.94</v>
      </c>
      <c r="L637" s="0" t="str">
        <f aca="false">"9.54"</f>
        <v>9.54</v>
      </c>
      <c r="M637" s="0" t="str">
        <f aca="false">"-162.6"</f>
        <v>-162.6</v>
      </c>
    </row>
    <row r="638" customFormat="false" ht="12.8" hidden="false" customHeight="false" outlineLevel="0" collapsed="false">
      <c r="A638" s="0" t="s">
        <v>8</v>
      </c>
      <c r="B638" s="0" t="s">
        <v>9</v>
      </c>
      <c r="C638" s="0" t="str">
        <f aca="false">"130-141"</f>
        <v>130-141</v>
      </c>
      <c r="D638" s="0" t="s">
        <v>9</v>
      </c>
      <c r="E638" s="0" t="str">
        <f aca="false">"229-240"</f>
        <v>229-240</v>
      </c>
      <c r="F638" s="0" t="s">
        <v>660</v>
      </c>
      <c r="G638" s="0" t="s">
        <v>9</v>
      </c>
      <c r="H638" s="0" t="str">
        <f aca="false">"153-164"</f>
        <v>153-164</v>
      </c>
      <c r="I638" s="0" t="s">
        <v>9</v>
      </c>
      <c r="J638" s="0" t="str">
        <f aca="false">"127-138"</f>
        <v>127-138</v>
      </c>
      <c r="K638" s="0" t="str">
        <f aca="false">"1.17"</f>
        <v>1.17</v>
      </c>
      <c r="L638" s="0" t="str">
        <f aca="false">"11.01"</f>
        <v>11.01</v>
      </c>
      <c r="M638" s="0" t="str">
        <f aca="false">"-158.0"</f>
        <v>-158.0</v>
      </c>
    </row>
    <row r="639" customFormat="false" ht="12.8" hidden="false" customHeight="false" outlineLevel="0" collapsed="false">
      <c r="A639" s="0" t="s">
        <v>8</v>
      </c>
      <c r="B639" s="0" t="s">
        <v>9</v>
      </c>
      <c r="C639" s="0" t="str">
        <f aca="false">"130-141"</f>
        <v>130-141</v>
      </c>
      <c r="D639" s="0" t="s">
        <v>9</v>
      </c>
      <c r="E639" s="0" t="str">
        <f aca="false">"233-244"</f>
        <v>233-244</v>
      </c>
      <c r="F639" s="0" t="s">
        <v>661</v>
      </c>
      <c r="G639" s="0" t="s">
        <v>13</v>
      </c>
      <c r="H639" s="0" t="str">
        <f aca="false">"21-32"</f>
        <v>21-32</v>
      </c>
      <c r="I639" s="0" t="s">
        <v>9</v>
      </c>
      <c r="J639" s="0" t="str">
        <f aca="false">"24-35"</f>
        <v>24-35</v>
      </c>
      <c r="K639" s="0" t="str">
        <f aca="false">"1.24"</f>
        <v>1.24</v>
      </c>
      <c r="L639" s="0" t="str">
        <f aca="false">"10.97"</f>
        <v>10.97</v>
      </c>
      <c r="M639" s="0" t="str">
        <f aca="false">"-157.6"</f>
        <v>-157.6</v>
      </c>
    </row>
    <row r="640" customFormat="false" ht="12.8" hidden="false" customHeight="false" outlineLevel="0" collapsed="false">
      <c r="A640" s="0" t="s">
        <v>8</v>
      </c>
      <c r="B640" s="0" t="s">
        <v>9</v>
      </c>
      <c r="C640" s="0" t="str">
        <f aca="false">"131-142"</f>
        <v>131-142</v>
      </c>
      <c r="D640" s="0" t="s">
        <v>9</v>
      </c>
      <c r="E640" s="0" t="str">
        <f aca="false">"233-244"</f>
        <v>233-244</v>
      </c>
      <c r="F640" s="0" t="s">
        <v>662</v>
      </c>
      <c r="G640" s="0" t="s">
        <v>70</v>
      </c>
      <c r="H640" s="0" t="str">
        <f aca="false">"139-150"</f>
        <v>139-150</v>
      </c>
      <c r="I640" s="0" t="s">
        <v>9</v>
      </c>
      <c r="J640" s="0" t="str">
        <f aca="false">"139-150"</f>
        <v>139-150</v>
      </c>
      <c r="K640" s="0" t="str">
        <f aca="false">"0.99"</f>
        <v>0.99</v>
      </c>
      <c r="L640" s="0" t="str">
        <f aca="false">"8.92"</f>
        <v>8.92</v>
      </c>
      <c r="M640" s="0" t="str">
        <f aca="false">"-153.5"</f>
        <v>-153.5</v>
      </c>
    </row>
    <row r="641" customFormat="false" ht="12.8" hidden="false" customHeight="false" outlineLevel="0" collapsed="false">
      <c r="A641" s="0" t="s">
        <v>8</v>
      </c>
      <c r="B641" s="0" t="s">
        <v>9</v>
      </c>
      <c r="C641" s="0" t="str">
        <f aca="false">"134-145"</f>
        <v>134-145</v>
      </c>
      <c r="D641" s="0" t="s">
        <v>9</v>
      </c>
      <c r="E641" s="0" t="str">
        <f aca="false">"226-237"</f>
        <v>226-237</v>
      </c>
      <c r="F641" s="0" t="s">
        <v>663</v>
      </c>
      <c r="G641" s="0" t="s">
        <v>9</v>
      </c>
      <c r="H641" s="0" t="str">
        <f aca="false">"54-65"</f>
        <v>54-65</v>
      </c>
      <c r="I641" s="0" t="s">
        <v>9</v>
      </c>
      <c r="J641" s="0" t="str">
        <f aca="false">"9-20"</f>
        <v>9-20</v>
      </c>
      <c r="K641" s="0" t="str">
        <f aca="false">"1.18"</f>
        <v>1.18</v>
      </c>
      <c r="L641" s="0" t="str">
        <f aca="false">"9.60"</f>
        <v>9.60</v>
      </c>
      <c r="M641" s="0" t="str">
        <f aca="false">"-150.2"</f>
        <v>-150.2</v>
      </c>
    </row>
    <row r="642" customFormat="false" ht="12.8" hidden="false" customHeight="false" outlineLevel="0" collapsed="false">
      <c r="A642" s="0" t="s">
        <v>8</v>
      </c>
      <c r="B642" s="0" t="s">
        <v>9</v>
      </c>
      <c r="C642" s="0" t="str">
        <f aca="false">"127-138"</f>
        <v>127-138</v>
      </c>
      <c r="D642" s="0" t="s">
        <v>9</v>
      </c>
      <c r="E642" s="0" t="str">
        <f aca="false">"233-244"</f>
        <v>233-244</v>
      </c>
      <c r="F642" s="0" t="s">
        <v>664</v>
      </c>
      <c r="G642" s="0" t="s">
        <v>9</v>
      </c>
      <c r="H642" s="0" t="str">
        <f aca="false">"466-477"</f>
        <v>466-477</v>
      </c>
      <c r="I642" s="0" t="s">
        <v>9</v>
      </c>
      <c r="J642" s="0" t="str">
        <f aca="false">"381-392"</f>
        <v>381-392</v>
      </c>
      <c r="K642" s="0" t="str">
        <f aca="false">"1.01"</f>
        <v>1.01</v>
      </c>
      <c r="L642" s="0" t="str">
        <f aca="false">"11.75"</f>
        <v>11.75</v>
      </c>
      <c r="M642" s="0" t="str">
        <f aca="false">"-146.3"</f>
        <v>-146.3</v>
      </c>
    </row>
    <row r="643" customFormat="false" ht="12.8" hidden="false" customHeight="false" outlineLevel="0" collapsed="false">
      <c r="A643" s="0" t="s">
        <v>8</v>
      </c>
      <c r="B643" s="0" t="s">
        <v>9</v>
      </c>
      <c r="C643" s="0" t="str">
        <f aca="false">"131-142"</f>
        <v>131-142</v>
      </c>
      <c r="D643" s="0" t="s">
        <v>9</v>
      </c>
      <c r="E643" s="0" t="str">
        <f aca="false">"233-244"</f>
        <v>233-244</v>
      </c>
      <c r="F643" s="0" t="s">
        <v>665</v>
      </c>
      <c r="G643" s="0" t="s">
        <v>9</v>
      </c>
      <c r="H643" s="0" t="str">
        <f aca="false">"44-55"</f>
        <v>44-55</v>
      </c>
      <c r="I643" s="0" t="s">
        <v>9</v>
      </c>
      <c r="J643" s="0" t="str">
        <f aca="false">"129-140"</f>
        <v>129-140</v>
      </c>
      <c r="K643" s="0" t="str">
        <f aca="false">"0.72"</f>
        <v>0.72</v>
      </c>
      <c r="L643" s="0" t="str">
        <f aca="false">"10.21"</f>
        <v>10.21</v>
      </c>
      <c r="M643" s="0" t="str">
        <f aca="false">"-156.8"</f>
        <v>-156.8</v>
      </c>
    </row>
    <row r="644" customFormat="false" ht="12.8" hidden="false" customHeight="false" outlineLevel="0" collapsed="false">
      <c r="A644" s="0" t="s">
        <v>8</v>
      </c>
      <c r="B644" s="0" t="s">
        <v>9</v>
      </c>
      <c r="C644" s="0" t="str">
        <f aca="false">"131-142"</f>
        <v>131-142</v>
      </c>
      <c r="D644" s="0" t="s">
        <v>9</v>
      </c>
      <c r="E644" s="0" t="str">
        <f aca="false">"229-240"</f>
        <v>229-240</v>
      </c>
      <c r="F644" s="0" t="s">
        <v>666</v>
      </c>
      <c r="G644" s="0" t="s">
        <v>9</v>
      </c>
      <c r="H644" s="0" t="str">
        <f aca="false">"142-153"</f>
        <v>142-153</v>
      </c>
      <c r="I644" s="0" t="s">
        <v>9</v>
      </c>
      <c r="J644" s="0" t="str">
        <f aca="false">"47-58"</f>
        <v>47-58</v>
      </c>
      <c r="K644" s="0" t="str">
        <f aca="false">"1.23"</f>
        <v>1.23</v>
      </c>
      <c r="L644" s="0" t="str">
        <f aca="false">"10.77"</f>
        <v>10.77</v>
      </c>
      <c r="M644" s="0" t="str">
        <f aca="false">"-165.2"</f>
        <v>-165.2</v>
      </c>
    </row>
    <row r="645" customFormat="false" ht="12.8" hidden="false" customHeight="false" outlineLevel="0" collapsed="false">
      <c r="A645" s="0" t="s">
        <v>8</v>
      </c>
      <c r="B645" s="0" t="s">
        <v>9</v>
      </c>
      <c r="C645" s="0" t="str">
        <f aca="false">"131-142"</f>
        <v>131-142</v>
      </c>
      <c r="D645" s="0" t="s">
        <v>9</v>
      </c>
      <c r="E645" s="0" t="str">
        <f aca="false">"233-244"</f>
        <v>233-244</v>
      </c>
      <c r="F645" s="0" t="s">
        <v>667</v>
      </c>
      <c r="G645" s="0" t="s">
        <v>9</v>
      </c>
      <c r="H645" s="0" t="str">
        <f aca="false">"13-24"</f>
        <v>13-24</v>
      </c>
      <c r="I645" s="0" t="s">
        <v>9</v>
      </c>
      <c r="J645" s="0" t="str">
        <f aca="false">"109-120"</f>
        <v>109-120</v>
      </c>
      <c r="K645" s="0" t="str">
        <f aca="false">"0.77"</f>
        <v>0.77</v>
      </c>
      <c r="L645" s="0" t="str">
        <f aca="false">"10.57"</f>
        <v>10.57</v>
      </c>
      <c r="M645" s="0" t="str">
        <f aca="false">"-159.0"</f>
        <v>-159.0</v>
      </c>
    </row>
    <row r="646" customFormat="false" ht="12.8" hidden="false" customHeight="false" outlineLevel="0" collapsed="false">
      <c r="A646" s="0" t="s">
        <v>8</v>
      </c>
      <c r="B646" s="0" t="s">
        <v>9</v>
      </c>
      <c r="C646" s="0" t="str">
        <f aca="false">"128-139"</f>
        <v>128-139</v>
      </c>
      <c r="D646" s="0" t="s">
        <v>9</v>
      </c>
      <c r="E646" s="0" t="str">
        <f aca="false">"233-244"</f>
        <v>233-244</v>
      </c>
      <c r="F646" s="0" t="s">
        <v>668</v>
      </c>
      <c r="G646" s="0" t="s">
        <v>9</v>
      </c>
      <c r="H646" s="0" t="str">
        <f aca="false">"17-28"</f>
        <v>17-28</v>
      </c>
      <c r="I646" s="0" t="s">
        <v>9</v>
      </c>
      <c r="J646" s="0" t="str">
        <f aca="false">"97-108"</f>
        <v>97-108</v>
      </c>
      <c r="K646" s="0" t="str">
        <f aca="false">"0.91"</f>
        <v>0.91</v>
      </c>
      <c r="L646" s="0" t="str">
        <f aca="false">"11.36"</f>
        <v>11.36</v>
      </c>
      <c r="M646" s="0" t="str">
        <f aca="false">"-162.1"</f>
        <v>-162.1</v>
      </c>
    </row>
    <row r="647" customFormat="false" ht="12.8" hidden="false" customHeight="false" outlineLevel="0" collapsed="false">
      <c r="A647" s="0" t="s">
        <v>8</v>
      </c>
      <c r="B647" s="0" t="s">
        <v>9</v>
      </c>
      <c r="C647" s="0" t="str">
        <f aca="false">"131-142"</f>
        <v>131-142</v>
      </c>
      <c r="D647" s="0" t="s">
        <v>9</v>
      </c>
      <c r="E647" s="0" t="str">
        <f aca="false">"232-243"</f>
        <v>232-243</v>
      </c>
      <c r="F647" s="0" t="s">
        <v>669</v>
      </c>
      <c r="G647" s="0" t="s">
        <v>9</v>
      </c>
      <c r="H647" s="0" t="str">
        <f aca="false">"850-861"</f>
        <v>850-861</v>
      </c>
      <c r="I647" s="0" t="s">
        <v>9</v>
      </c>
      <c r="J647" s="0" t="str">
        <f aca="false">"794-805"</f>
        <v>794-805</v>
      </c>
      <c r="K647" s="0" t="str">
        <f aca="false">"0.79"</f>
        <v>0.79</v>
      </c>
      <c r="L647" s="0" t="str">
        <f aca="false">"10.59"</f>
        <v>10.59</v>
      </c>
      <c r="M647" s="0" t="str">
        <f aca="false">"-159.6"</f>
        <v>-159.6</v>
      </c>
    </row>
    <row r="648" customFormat="false" ht="12.8" hidden="false" customHeight="false" outlineLevel="0" collapsed="false">
      <c r="A648" s="0" t="s">
        <v>8</v>
      </c>
      <c r="B648" s="0" t="s">
        <v>9</v>
      </c>
      <c r="C648" s="0" t="str">
        <f aca="false">"129-140"</f>
        <v>129-140</v>
      </c>
      <c r="D648" s="0" t="s">
        <v>9</v>
      </c>
      <c r="E648" s="0" t="str">
        <f aca="false">"233-244"</f>
        <v>233-244</v>
      </c>
      <c r="F648" s="0" t="s">
        <v>670</v>
      </c>
      <c r="G648" s="0" t="s">
        <v>9</v>
      </c>
      <c r="H648" s="0" t="str">
        <f aca="false">"92-103"</f>
        <v>92-103</v>
      </c>
      <c r="I648" s="0" t="s">
        <v>9</v>
      </c>
      <c r="J648" s="0" t="str">
        <f aca="false">"110-121"</f>
        <v>110-121</v>
      </c>
      <c r="K648" s="0" t="str">
        <f aca="false">"0.99"</f>
        <v>0.99</v>
      </c>
      <c r="L648" s="0" t="str">
        <f aca="false">"11.20"</f>
        <v>11.20</v>
      </c>
      <c r="M648" s="0" t="str">
        <f aca="false">"-169.7"</f>
        <v>-169.7</v>
      </c>
    </row>
    <row r="649" customFormat="false" ht="12.8" hidden="false" customHeight="false" outlineLevel="0" collapsed="false">
      <c r="A649" s="0" t="s">
        <v>8</v>
      </c>
      <c r="B649" s="0" t="s">
        <v>9</v>
      </c>
      <c r="C649" s="0" t="str">
        <f aca="false">"127-138"</f>
        <v>127-138</v>
      </c>
      <c r="D649" s="0" t="s">
        <v>9</v>
      </c>
      <c r="E649" s="0" t="str">
        <f aca="false">"233-244"</f>
        <v>233-244</v>
      </c>
      <c r="F649" s="0" t="s">
        <v>671</v>
      </c>
      <c r="G649" s="0" t="s">
        <v>24</v>
      </c>
      <c r="H649" s="0" t="str">
        <f aca="false">"232-243"</f>
        <v>232-243</v>
      </c>
      <c r="I649" s="0" t="s">
        <v>24</v>
      </c>
      <c r="J649" s="0" t="str">
        <f aca="false">"287-298"</f>
        <v>287-298</v>
      </c>
      <c r="K649" s="0" t="str">
        <f aca="false">"1.01"</f>
        <v>1.01</v>
      </c>
      <c r="L649" s="0" t="str">
        <f aca="false">"11.75"</f>
        <v>11.75</v>
      </c>
      <c r="M649" s="0" t="str">
        <f aca="false">"-151.9"</f>
        <v>-151.9</v>
      </c>
    </row>
    <row r="650" customFormat="false" ht="12.8" hidden="false" customHeight="false" outlineLevel="0" collapsed="false">
      <c r="A650" s="0" t="s">
        <v>8</v>
      </c>
      <c r="B650" s="0" t="s">
        <v>9</v>
      </c>
      <c r="C650" s="0" t="str">
        <f aca="false">"131-142"</f>
        <v>131-142</v>
      </c>
      <c r="D650" s="0" t="s">
        <v>9</v>
      </c>
      <c r="E650" s="0" t="str">
        <f aca="false">"232-243"</f>
        <v>232-243</v>
      </c>
      <c r="F650" s="0" t="s">
        <v>672</v>
      </c>
      <c r="G650" s="0" t="s">
        <v>9</v>
      </c>
      <c r="H650" s="0" t="str">
        <f aca="false">"44-55"</f>
        <v>44-55</v>
      </c>
      <c r="I650" s="0" t="s">
        <v>9</v>
      </c>
      <c r="J650" s="0" t="str">
        <f aca="false">"11-22"</f>
        <v>11-22</v>
      </c>
      <c r="K650" s="0" t="str">
        <f aca="false">"1.17"</f>
        <v>1.17</v>
      </c>
      <c r="L650" s="0" t="str">
        <f aca="false">"11.41"</f>
        <v>11.41</v>
      </c>
      <c r="M650" s="0" t="str">
        <f aca="false">"-160.7"</f>
        <v>-160.7</v>
      </c>
    </row>
    <row r="651" customFormat="false" ht="12.8" hidden="false" customHeight="false" outlineLevel="0" collapsed="false">
      <c r="A651" s="0" t="s">
        <v>8</v>
      </c>
      <c r="B651" s="0" t="s">
        <v>9</v>
      </c>
      <c r="C651" s="0" t="str">
        <f aca="false">"129-140"</f>
        <v>129-140</v>
      </c>
      <c r="D651" s="0" t="s">
        <v>9</v>
      </c>
      <c r="E651" s="0" t="str">
        <f aca="false">"232-243"</f>
        <v>232-243</v>
      </c>
      <c r="F651" s="0" t="s">
        <v>673</v>
      </c>
      <c r="G651" s="0" t="s">
        <v>9</v>
      </c>
      <c r="H651" s="0" t="str">
        <f aca="false">"156-167"</f>
        <v>156-167</v>
      </c>
      <c r="I651" s="0" t="s">
        <v>9</v>
      </c>
      <c r="J651" s="0" t="str">
        <f aca="false">"172-183"</f>
        <v>172-183</v>
      </c>
      <c r="K651" s="0" t="str">
        <f aca="false">"1.22"</f>
        <v>1.22</v>
      </c>
      <c r="L651" s="0" t="str">
        <f aca="false">"9.91"</f>
        <v>9.91</v>
      </c>
      <c r="M651" s="0" t="str">
        <f aca="false">"-156.7"</f>
        <v>-156.7</v>
      </c>
    </row>
    <row r="652" customFormat="false" ht="12.8" hidden="false" customHeight="false" outlineLevel="0" collapsed="false">
      <c r="A652" s="0" t="s">
        <v>8</v>
      </c>
      <c r="B652" s="0" t="s">
        <v>9</v>
      </c>
      <c r="C652" s="0" t="str">
        <f aca="false">"131-142"</f>
        <v>131-142</v>
      </c>
      <c r="D652" s="0" t="s">
        <v>9</v>
      </c>
      <c r="E652" s="0" t="str">
        <f aca="false">"230-241"</f>
        <v>230-241</v>
      </c>
      <c r="F652" s="0" t="s">
        <v>674</v>
      </c>
      <c r="G652" s="0" t="s">
        <v>9</v>
      </c>
      <c r="H652" s="0" t="str">
        <f aca="false">"247-258"</f>
        <v>247-258</v>
      </c>
      <c r="I652" s="0" t="s">
        <v>9</v>
      </c>
      <c r="J652" s="0" t="str">
        <f aca="false">"265-276"</f>
        <v>265-276</v>
      </c>
      <c r="K652" s="0" t="str">
        <f aca="false">"1.20"</f>
        <v>1.20</v>
      </c>
      <c r="L652" s="0" t="str">
        <f aca="false">"10.21"</f>
        <v>10.21</v>
      </c>
      <c r="M652" s="0" t="str">
        <f aca="false">"-149.9"</f>
        <v>-149.9</v>
      </c>
    </row>
    <row r="653" customFormat="false" ht="12.8" hidden="false" customHeight="false" outlineLevel="0" collapsed="false">
      <c r="A653" s="0" t="s">
        <v>8</v>
      </c>
      <c r="B653" s="0" t="s">
        <v>9</v>
      </c>
      <c r="C653" s="0" t="str">
        <f aca="false">"135-146"</f>
        <v>135-146</v>
      </c>
      <c r="D653" s="0" t="s">
        <v>9</v>
      </c>
      <c r="E653" s="0" t="str">
        <f aca="false">"229-240"</f>
        <v>229-240</v>
      </c>
      <c r="F653" s="0" t="s">
        <v>675</v>
      </c>
      <c r="G653" s="0" t="s">
        <v>9</v>
      </c>
      <c r="H653" s="0" t="str">
        <f aca="false">"406-417"</f>
        <v>406-417</v>
      </c>
      <c r="I653" s="0" t="s">
        <v>9</v>
      </c>
      <c r="J653" s="0" t="str">
        <f aca="false">"431-442"</f>
        <v>431-442</v>
      </c>
      <c r="K653" s="0" t="str">
        <f aca="false">"0.92"</f>
        <v>0.92</v>
      </c>
      <c r="L653" s="0" t="str">
        <f aca="false">"10.27"</f>
        <v>10.27</v>
      </c>
      <c r="M653" s="0" t="str">
        <f aca="false">"-164.4"</f>
        <v>-164.4</v>
      </c>
    </row>
    <row r="654" customFormat="false" ht="12.8" hidden="false" customHeight="false" outlineLevel="0" collapsed="false">
      <c r="A654" s="0" t="s">
        <v>8</v>
      </c>
      <c r="B654" s="0" t="s">
        <v>9</v>
      </c>
      <c r="C654" s="0" t="str">
        <f aca="false">"131-142"</f>
        <v>131-142</v>
      </c>
      <c r="D654" s="0" t="s">
        <v>9</v>
      </c>
      <c r="E654" s="0" t="str">
        <f aca="false">"229-240"</f>
        <v>229-240</v>
      </c>
      <c r="F654" s="0" t="s">
        <v>676</v>
      </c>
      <c r="G654" s="0" t="s">
        <v>9</v>
      </c>
      <c r="H654" s="0" t="str">
        <f aca="false">"444-455"</f>
        <v>444-455</v>
      </c>
      <c r="I654" s="0" t="s">
        <v>9</v>
      </c>
      <c r="J654" s="0" t="str">
        <f aca="false">"355-366"</f>
        <v>355-366</v>
      </c>
      <c r="K654" s="0" t="str">
        <f aca="false">"1.06"</f>
        <v>1.06</v>
      </c>
      <c r="L654" s="0" t="str">
        <f aca="false">"10.54"</f>
        <v>10.54</v>
      </c>
      <c r="M654" s="0" t="str">
        <f aca="false">"-146.9"</f>
        <v>-146.9</v>
      </c>
    </row>
    <row r="655" customFormat="false" ht="12.8" hidden="false" customHeight="false" outlineLevel="0" collapsed="false">
      <c r="A655" s="0" t="s">
        <v>8</v>
      </c>
      <c r="B655" s="0" t="s">
        <v>9</v>
      </c>
      <c r="C655" s="0" t="str">
        <f aca="false">"131-142"</f>
        <v>131-142</v>
      </c>
      <c r="D655" s="0" t="s">
        <v>9</v>
      </c>
      <c r="E655" s="0" t="str">
        <f aca="false">"230-241"</f>
        <v>230-241</v>
      </c>
      <c r="F655" s="0" t="s">
        <v>677</v>
      </c>
      <c r="G655" s="0" t="s">
        <v>120</v>
      </c>
      <c r="H655" s="0" t="str">
        <f aca="false">"53-64"</f>
        <v>53-64</v>
      </c>
      <c r="I655" s="0" t="s">
        <v>120</v>
      </c>
      <c r="J655" s="0" t="str">
        <f aca="false">"36-47"</f>
        <v>36-47</v>
      </c>
      <c r="K655" s="0" t="str">
        <f aca="false">"0.97"</f>
        <v>0.97</v>
      </c>
      <c r="L655" s="0" t="str">
        <f aca="false">"9.34"</f>
        <v>9.34</v>
      </c>
      <c r="M655" s="0" t="str">
        <f aca="false">"-157.1"</f>
        <v>-157.1</v>
      </c>
    </row>
    <row r="656" customFormat="false" ht="12.8" hidden="false" customHeight="false" outlineLevel="0" collapsed="false">
      <c r="A656" s="0" t="s">
        <v>8</v>
      </c>
      <c r="B656" s="0" t="s">
        <v>9</v>
      </c>
      <c r="C656" s="0" t="str">
        <f aca="false">"133-144"</f>
        <v>133-144</v>
      </c>
      <c r="D656" s="0" t="s">
        <v>9</v>
      </c>
      <c r="E656" s="0" t="str">
        <f aca="false">"228-239"</f>
        <v>228-239</v>
      </c>
      <c r="F656" s="0" t="s">
        <v>678</v>
      </c>
      <c r="G656" s="0" t="s">
        <v>13</v>
      </c>
      <c r="H656" s="0" t="str">
        <f aca="false">"138-149"</f>
        <v>138-149</v>
      </c>
      <c r="I656" s="0" t="s">
        <v>9</v>
      </c>
      <c r="J656" s="0" t="str">
        <f aca="false">"138-149"</f>
        <v>138-149</v>
      </c>
      <c r="K656" s="0" t="str">
        <f aca="false">"1.07"</f>
        <v>1.07</v>
      </c>
      <c r="L656" s="0" t="str">
        <f aca="false">"8.89"</f>
        <v>8.89</v>
      </c>
      <c r="M656" s="0" t="str">
        <f aca="false">"-172.2"</f>
        <v>-172.2</v>
      </c>
    </row>
    <row r="657" customFormat="false" ht="12.8" hidden="false" customHeight="false" outlineLevel="0" collapsed="false">
      <c r="A657" s="0" t="s">
        <v>8</v>
      </c>
      <c r="B657" s="0" t="s">
        <v>9</v>
      </c>
      <c r="C657" s="0" t="str">
        <f aca="false">"134-145"</f>
        <v>134-145</v>
      </c>
      <c r="D657" s="0" t="s">
        <v>9</v>
      </c>
      <c r="E657" s="0" t="str">
        <f aca="false">"230-241"</f>
        <v>230-241</v>
      </c>
      <c r="F657" s="0" t="s">
        <v>679</v>
      </c>
      <c r="G657" s="0" t="s">
        <v>9</v>
      </c>
      <c r="H657" s="0" t="str">
        <f aca="false">"292-303"</f>
        <v>292-303</v>
      </c>
      <c r="I657" s="0" t="s">
        <v>9</v>
      </c>
      <c r="J657" s="0" t="str">
        <f aca="false">"310-321"</f>
        <v>310-321</v>
      </c>
      <c r="K657" s="0" t="str">
        <f aca="false">"1.19"</f>
        <v>1.19</v>
      </c>
      <c r="L657" s="0" t="str">
        <f aca="false">"9.75"</f>
        <v>9.75</v>
      </c>
      <c r="M657" s="0" t="str">
        <f aca="false">"-174.3"</f>
        <v>-174.3</v>
      </c>
    </row>
    <row r="658" customFormat="false" ht="12.8" hidden="false" customHeight="false" outlineLevel="0" collapsed="false">
      <c r="A658" s="0" t="s">
        <v>8</v>
      </c>
      <c r="B658" s="0" t="s">
        <v>9</v>
      </c>
      <c r="C658" s="0" t="str">
        <f aca="false">"128-139"</f>
        <v>128-139</v>
      </c>
      <c r="D658" s="0" t="s">
        <v>9</v>
      </c>
      <c r="E658" s="0" t="str">
        <f aca="false">"234-245"</f>
        <v>234-245</v>
      </c>
      <c r="F658" s="0" t="s">
        <v>680</v>
      </c>
      <c r="G658" s="0" t="s">
        <v>9</v>
      </c>
      <c r="H658" s="0" t="str">
        <f aca="false">"97-108"</f>
        <v>97-108</v>
      </c>
      <c r="I658" s="0" t="s">
        <v>9</v>
      </c>
      <c r="J658" s="0" t="str">
        <f aca="false">"113-124"</f>
        <v>113-124</v>
      </c>
      <c r="K658" s="0" t="str">
        <f aca="false">"1.14"</f>
        <v>1.14</v>
      </c>
      <c r="L658" s="0" t="str">
        <f aca="false">"9.68"</f>
        <v>9.68</v>
      </c>
      <c r="M658" s="0" t="str">
        <f aca="false">"-164.0"</f>
        <v>-164.0</v>
      </c>
    </row>
    <row r="659" customFormat="false" ht="12.8" hidden="false" customHeight="false" outlineLevel="0" collapsed="false">
      <c r="A659" s="0" t="s">
        <v>8</v>
      </c>
      <c r="B659" s="0" t="s">
        <v>9</v>
      </c>
      <c r="C659" s="0" t="str">
        <f aca="false">"128-139"</f>
        <v>128-139</v>
      </c>
      <c r="D659" s="0" t="s">
        <v>9</v>
      </c>
      <c r="E659" s="0" t="str">
        <f aca="false">"233-244"</f>
        <v>233-244</v>
      </c>
      <c r="F659" s="0" t="s">
        <v>681</v>
      </c>
      <c r="G659" s="0" t="s">
        <v>9</v>
      </c>
      <c r="H659" s="0" t="str">
        <f aca="false">"58-69"</f>
        <v>58-69</v>
      </c>
      <c r="I659" s="0" t="s">
        <v>9</v>
      </c>
      <c r="J659" s="0" t="str">
        <f aca="false">"40-51"</f>
        <v>40-51</v>
      </c>
      <c r="K659" s="0" t="str">
        <f aca="false">"1.22"</f>
        <v>1.22</v>
      </c>
      <c r="L659" s="0" t="str">
        <f aca="false">"10.96"</f>
        <v>10.96</v>
      </c>
      <c r="M659" s="0" t="str">
        <f aca="false">"-156.0"</f>
        <v>-156.0</v>
      </c>
    </row>
    <row r="660" customFormat="false" ht="12.8" hidden="false" customHeight="false" outlineLevel="0" collapsed="false">
      <c r="A660" s="0" t="s">
        <v>8</v>
      </c>
      <c r="B660" s="0" t="s">
        <v>9</v>
      </c>
      <c r="C660" s="0" t="str">
        <f aca="false">"134-145"</f>
        <v>134-145</v>
      </c>
      <c r="D660" s="0" t="s">
        <v>9</v>
      </c>
      <c r="E660" s="0" t="str">
        <f aca="false">"230-241"</f>
        <v>230-241</v>
      </c>
      <c r="F660" s="0" t="s">
        <v>682</v>
      </c>
      <c r="G660" s="0" t="s">
        <v>9</v>
      </c>
      <c r="H660" s="0" t="str">
        <f aca="false">"12-23"</f>
        <v>12-23</v>
      </c>
      <c r="I660" s="0" t="s">
        <v>13</v>
      </c>
      <c r="J660" s="0" t="str">
        <f aca="false">"743-754"</f>
        <v>743-754</v>
      </c>
      <c r="K660" s="0" t="str">
        <f aca="false">"1.05"</f>
        <v>1.05</v>
      </c>
      <c r="L660" s="0" t="str">
        <f aca="false">"9.91"</f>
        <v>9.91</v>
      </c>
      <c r="M660" s="0" t="str">
        <f aca="false">"-161.7"</f>
        <v>-161.7</v>
      </c>
    </row>
    <row r="661" customFormat="false" ht="12.8" hidden="false" customHeight="false" outlineLevel="0" collapsed="false">
      <c r="A661" s="0" t="s">
        <v>8</v>
      </c>
      <c r="B661" s="0" t="s">
        <v>9</v>
      </c>
      <c r="C661" s="0" t="str">
        <f aca="false">"131-142"</f>
        <v>131-142</v>
      </c>
      <c r="D661" s="0" t="s">
        <v>9</v>
      </c>
      <c r="E661" s="0" t="str">
        <f aca="false">"231-242"</f>
        <v>231-242</v>
      </c>
      <c r="F661" s="0" t="s">
        <v>683</v>
      </c>
      <c r="G661" s="0" t="s">
        <v>9</v>
      </c>
      <c r="H661" s="0" t="str">
        <f aca="false">"462-473"</f>
        <v>462-473</v>
      </c>
      <c r="I661" s="0" t="s">
        <v>9</v>
      </c>
      <c r="J661" s="0" t="str">
        <f aca="false">"543-554"</f>
        <v>543-554</v>
      </c>
      <c r="K661" s="0" t="str">
        <f aca="false">"1.07"</f>
        <v>1.07</v>
      </c>
      <c r="L661" s="0" t="str">
        <f aca="false">"10.77"</f>
        <v>10.77</v>
      </c>
      <c r="M661" s="0" t="str">
        <f aca="false">"-168.5"</f>
        <v>-168.5</v>
      </c>
    </row>
    <row r="662" customFormat="false" ht="12.8" hidden="false" customHeight="false" outlineLevel="0" collapsed="false">
      <c r="A662" s="0" t="s">
        <v>8</v>
      </c>
      <c r="B662" s="0" t="s">
        <v>9</v>
      </c>
      <c r="C662" s="0" t="str">
        <f aca="false">"136-147"</f>
        <v>136-147</v>
      </c>
      <c r="D662" s="0" t="s">
        <v>9</v>
      </c>
      <c r="E662" s="0" t="str">
        <f aca="false">"226-237"</f>
        <v>226-237</v>
      </c>
      <c r="F662" s="0" t="s">
        <v>684</v>
      </c>
      <c r="G662" s="0" t="s">
        <v>13</v>
      </c>
      <c r="H662" s="0" t="str">
        <f aca="false">"232-243"</f>
        <v>232-243</v>
      </c>
      <c r="I662" s="0" t="s">
        <v>13</v>
      </c>
      <c r="J662" s="0" t="str">
        <f aca="false">"213-224"</f>
        <v>213-224</v>
      </c>
      <c r="K662" s="0" t="str">
        <f aca="false">"1.00"</f>
        <v>1.00</v>
      </c>
      <c r="L662" s="0" t="str">
        <f aca="false">"9.03"</f>
        <v>9.03</v>
      </c>
      <c r="M662" s="0" t="str">
        <f aca="false">"-153.9"</f>
        <v>-153.9</v>
      </c>
    </row>
    <row r="663" customFormat="false" ht="12.8" hidden="false" customHeight="false" outlineLevel="0" collapsed="false">
      <c r="A663" s="0" t="s">
        <v>8</v>
      </c>
      <c r="B663" s="0" t="s">
        <v>9</v>
      </c>
      <c r="C663" s="0" t="str">
        <f aca="false">"130-141"</f>
        <v>130-141</v>
      </c>
      <c r="D663" s="0" t="s">
        <v>9</v>
      </c>
      <c r="E663" s="0" t="str">
        <f aca="false">"233-244"</f>
        <v>233-244</v>
      </c>
      <c r="F663" s="0" t="s">
        <v>685</v>
      </c>
      <c r="G663" s="0" t="s">
        <v>13</v>
      </c>
      <c r="H663" s="0" t="str">
        <f aca="false">"97-108"</f>
        <v>97-108</v>
      </c>
      <c r="I663" s="0" t="s">
        <v>13</v>
      </c>
      <c r="J663" s="0" t="str">
        <f aca="false">"40-51"</f>
        <v>40-51</v>
      </c>
      <c r="K663" s="0" t="str">
        <f aca="false">"1.10"</f>
        <v>1.10</v>
      </c>
      <c r="L663" s="0" t="str">
        <f aca="false">"10.24"</f>
        <v>10.24</v>
      </c>
      <c r="M663" s="0" t="str">
        <f aca="false">"-167.2"</f>
        <v>-167.2</v>
      </c>
    </row>
    <row r="664" customFormat="false" ht="12.8" hidden="false" customHeight="false" outlineLevel="0" collapsed="false">
      <c r="A664" s="0" t="s">
        <v>8</v>
      </c>
      <c r="B664" s="0" t="s">
        <v>9</v>
      </c>
      <c r="C664" s="0" t="str">
        <f aca="false">"130-141"</f>
        <v>130-141</v>
      </c>
      <c r="D664" s="0" t="s">
        <v>9</v>
      </c>
      <c r="E664" s="0" t="str">
        <f aca="false">"231-242"</f>
        <v>231-242</v>
      </c>
      <c r="F664" s="0" t="s">
        <v>686</v>
      </c>
      <c r="G664" s="0" t="s">
        <v>9</v>
      </c>
      <c r="H664" s="0" t="str">
        <f aca="false">"96-107"</f>
        <v>96-107</v>
      </c>
      <c r="I664" s="0" t="s">
        <v>9</v>
      </c>
      <c r="J664" s="0" t="str">
        <f aca="false">"60-71"</f>
        <v>60-71</v>
      </c>
      <c r="K664" s="0" t="str">
        <f aca="false">"1.13"</f>
        <v>1.13</v>
      </c>
      <c r="L664" s="0" t="str">
        <f aca="false">"9.73"</f>
        <v>9.73</v>
      </c>
      <c r="M664" s="0" t="str">
        <f aca="false">"-163.6"</f>
        <v>-163.6</v>
      </c>
    </row>
    <row r="665" customFormat="false" ht="12.8" hidden="false" customHeight="false" outlineLevel="0" collapsed="false">
      <c r="A665" s="0" t="s">
        <v>8</v>
      </c>
      <c r="B665" s="0" t="s">
        <v>9</v>
      </c>
      <c r="C665" s="0" t="str">
        <f aca="false">"130-141"</f>
        <v>130-141</v>
      </c>
      <c r="D665" s="0" t="s">
        <v>9</v>
      </c>
      <c r="E665" s="0" t="str">
        <f aca="false">"232-243"</f>
        <v>232-243</v>
      </c>
      <c r="F665" s="0" t="s">
        <v>687</v>
      </c>
      <c r="G665" s="0" t="s">
        <v>24</v>
      </c>
      <c r="H665" s="0" t="str">
        <f aca="false">"111-122"</f>
        <v>111-122</v>
      </c>
      <c r="I665" s="0" t="s">
        <v>24</v>
      </c>
      <c r="J665" s="0" t="str">
        <f aca="false">"17-28"</f>
        <v>17-28</v>
      </c>
      <c r="K665" s="0" t="str">
        <f aca="false">"0.92"</f>
        <v>0.92</v>
      </c>
      <c r="L665" s="0" t="str">
        <f aca="false">"11.43"</f>
        <v>11.43</v>
      </c>
      <c r="M665" s="0" t="str">
        <f aca="false">"-161.4"</f>
        <v>-161.4</v>
      </c>
    </row>
    <row r="666" customFormat="false" ht="12.8" hidden="false" customHeight="false" outlineLevel="0" collapsed="false">
      <c r="A666" s="0" t="s">
        <v>8</v>
      </c>
      <c r="B666" s="0" t="s">
        <v>9</v>
      </c>
      <c r="C666" s="0" t="str">
        <f aca="false">"128-139"</f>
        <v>128-139</v>
      </c>
      <c r="D666" s="0" t="s">
        <v>9</v>
      </c>
      <c r="E666" s="0" t="str">
        <f aca="false">"233-244"</f>
        <v>233-244</v>
      </c>
      <c r="F666" s="0" t="s">
        <v>688</v>
      </c>
      <c r="G666" s="0" t="s">
        <v>9</v>
      </c>
      <c r="H666" s="0" t="str">
        <f aca="false">"261-272"</f>
        <v>261-272</v>
      </c>
      <c r="I666" s="0" t="s">
        <v>9</v>
      </c>
      <c r="J666" s="0" t="str">
        <f aca="false">"229-240"</f>
        <v>229-240</v>
      </c>
      <c r="K666" s="0" t="str">
        <f aca="false">"1.07"</f>
        <v>1.07</v>
      </c>
      <c r="L666" s="0" t="str">
        <f aca="false">"11.78"</f>
        <v>11.78</v>
      </c>
      <c r="M666" s="0" t="str">
        <f aca="false">"-165.0"</f>
        <v>-165.0</v>
      </c>
    </row>
    <row r="667" customFormat="false" ht="12.8" hidden="false" customHeight="false" outlineLevel="0" collapsed="false">
      <c r="A667" s="0" t="s">
        <v>8</v>
      </c>
      <c r="B667" s="0" t="s">
        <v>9</v>
      </c>
      <c r="C667" s="0" t="str">
        <f aca="false">"130-141"</f>
        <v>130-141</v>
      </c>
      <c r="D667" s="0" t="s">
        <v>9</v>
      </c>
      <c r="E667" s="0" t="str">
        <f aca="false">"229-240"</f>
        <v>229-240</v>
      </c>
      <c r="F667" s="0" t="s">
        <v>689</v>
      </c>
      <c r="G667" s="0" t="s">
        <v>9</v>
      </c>
      <c r="H667" s="0" t="str">
        <f aca="false">"21-32"</f>
        <v>21-32</v>
      </c>
      <c r="I667" s="0" t="s">
        <v>9</v>
      </c>
      <c r="J667" s="0" t="str">
        <f aca="false">"126-137"</f>
        <v>126-137</v>
      </c>
      <c r="K667" s="0" t="str">
        <f aca="false">"1.02"</f>
        <v>1.02</v>
      </c>
      <c r="L667" s="0" t="str">
        <f aca="false">"11.05"</f>
        <v>11.05</v>
      </c>
      <c r="M667" s="0" t="str">
        <f aca="false">"-151.6"</f>
        <v>-151.6</v>
      </c>
    </row>
    <row r="668" customFormat="false" ht="12.8" hidden="false" customHeight="false" outlineLevel="0" collapsed="false">
      <c r="A668" s="0" t="s">
        <v>8</v>
      </c>
      <c r="B668" s="0" t="s">
        <v>9</v>
      </c>
      <c r="C668" s="0" t="str">
        <f aca="false">"128-139"</f>
        <v>128-139</v>
      </c>
      <c r="D668" s="0" t="s">
        <v>9</v>
      </c>
      <c r="E668" s="0" t="str">
        <f aca="false">"232-243"</f>
        <v>232-243</v>
      </c>
      <c r="F668" s="0" t="s">
        <v>690</v>
      </c>
      <c r="G668" s="0" t="s">
        <v>9</v>
      </c>
      <c r="H668" s="0" t="str">
        <f aca="false">"127-138"</f>
        <v>127-138</v>
      </c>
      <c r="I668" s="0" t="s">
        <v>9</v>
      </c>
      <c r="J668" s="0" t="str">
        <f aca="false">"175-186"</f>
        <v>175-186</v>
      </c>
      <c r="K668" s="0" t="str">
        <f aca="false">"0.97"</f>
        <v>0.97</v>
      </c>
      <c r="L668" s="0" t="str">
        <f aca="false">"10.11"</f>
        <v>10.11</v>
      </c>
      <c r="M668" s="0" t="str">
        <f aca="false">"-146.8"</f>
        <v>-146.8</v>
      </c>
    </row>
    <row r="669" customFormat="false" ht="12.8" hidden="false" customHeight="false" outlineLevel="0" collapsed="false">
      <c r="A669" s="0" t="s">
        <v>8</v>
      </c>
      <c r="B669" s="0" t="s">
        <v>9</v>
      </c>
      <c r="C669" s="0" t="str">
        <f aca="false">"129-140"</f>
        <v>129-140</v>
      </c>
      <c r="D669" s="0" t="s">
        <v>9</v>
      </c>
      <c r="E669" s="0" t="str">
        <f aca="false">"232-243"</f>
        <v>232-243</v>
      </c>
      <c r="F669" s="0" t="s">
        <v>691</v>
      </c>
      <c r="G669" s="0" t="s">
        <v>120</v>
      </c>
      <c r="H669" s="0" t="str">
        <f aca="false">"85-96"</f>
        <v>85-96</v>
      </c>
      <c r="I669" s="0" t="s">
        <v>120</v>
      </c>
      <c r="J669" s="0" t="str">
        <f aca="false">"101-112"</f>
        <v>101-112</v>
      </c>
      <c r="K669" s="0" t="str">
        <f aca="false">"0.98"</f>
        <v>0.98</v>
      </c>
      <c r="L669" s="0" t="str">
        <f aca="false">"10.39"</f>
        <v>10.39</v>
      </c>
      <c r="M669" s="0" t="str">
        <f aca="false">"-145.3"</f>
        <v>-145.3</v>
      </c>
    </row>
    <row r="670" customFormat="false" ht="12.8" hidden="false" customHeight="false" outlineLevel="0" collapsed="false">
      <c r="A670" s="0" t="s">
        <v>8</v>
      </c>
      <c r="B670" s="0" t="s">
        <v>9</v>
      </c>
      <c r="C670" s="0" t="str">
        <f aca="false">"134-145"</f>
        <v>134-145</v>
      </c>
      <c r="D670" s="0" t="s">
        <v>9</v>
      </c>
      <c r="E670" s="0" t="str">
        <f aca="false">"229-240"</f>
        <v>229-240</v>
      </c>
      <c r="F670" s="0" t="s">
        <v>692</v>
      </c>
      <c r="G670" s="0" t="s">
        <v>9</v>
      </c>
      <c r="H670" s="0" t="str">
        <f aca="false">"526-537"</f>
        <v>526-537</v>
      </c>
      <c r="I670" s="0" t="s">
        <v>9</v>
      </c>
      <c r="J670" s="0" t="str">
        <f aca="false">"545-556"</f>
        <v>545-556</v>
      </c>
      <c r="K670" s="0" t="str">
        <f aca="false">"1.08"</f>
        <v>1.08</v>
      </c>
      <c r="L670" s="0" t="str">
        <f aca="false">"8.31"</f>
        <v>8.31</v>
      </c>
      <c r="M670" s="0" t="str">
        <f aca="false">"-150.4"</f>
        <v>-150.4</v>
      </c>
    </row>
    <row r="671" customFormat="false" ht="12.8" hidden="false" customHeight="false" outlineLevel="0" collapsed="false">
      <c r="A671" s="0" t="s">
        <v>8</v>
      </c>
      <c r="B671" s="0" t="s">
        <v>9</v>
      </c>
      <c r="C671" s="0" t="str">
        <f aca="false">"136-147"</f>
        <v>136-147</v>
      </c>
      <c r="D671" s="0" t="s">
        <v>9</v>
      </c>
      <c r="E671" s="0" t="str">
        <f aca="false">"226-237"</f>
        <v>226-237</v>
      </c>
      <c r="F671" s="0" t="s">
        <v>693</v>
      </c>
      <c r="G671" s="0" t="s">
        <v>24</v>
      </c>
      <c r="H671" s="0" t="str">
        <f aca="false">"63-74"</f>
        <v>63-74</v>
      </c>
      <c r="I671" s="0" t="s">
        <v>24</v>
      </c>
      <c r="J671" s="0" t="str">
        <f aca="false">"15-26"</f>
        <v>15-26</v>
      </c>
      <c r="K671" s="0" t="str">
        <f aca="false">"0.93"</f>
        <v>0.93</v>
      </c>
      <c r="L671" s="0" t="str">
        <f aca="false">"10.02"</f>
        <v>10.02</v>
      </c>
      <c r="M671" s="0" t="str">
        <f aca="false">"-142.6"</f>
        <v>-142.6</v>
      </c>
    </row>
    <row r="672" customFormat="false" ht="12.8" hidden="false" customHeight="false" outlineLevel="0" collapsed="false">
      <c r="A672" s="0" t="s">
        <v>8</v>
      </c>
      <c r="B672" s="0" t="s">
        <v>9</v>
      </c>
      <c r="C672" s="0" t="str">
        <f aca="false">"131-142"</f>
        <v>131-142</v>
      </c>
      <c r="D672" s="0" t="s">
        <v>9</v>
      </c>
      <c r="E672" s="0" t="str">
        <f aca="false">"228-239"</f>
        <v>228-239</v>
      </c>
      <c r="F672" s="0" t="s">
        <v>694</v>
      </c>
      <c r="G672" s="0" t="s">
        <v>9</v>
      </c>
      <c r="H672" s="0" t="str">
        <f aca="false">"184-195"</f>
        <v>184-195</v>
      </c>
      <c r="I672" s="0" t="s">
        <v>9</v>
      </c>
      <c r="J672" s="0" t="str">
        <f aca="false">"154-165"</f>
        <v>154-165</v>
      </c>
      <c r="K672" s="0" t="str">
        <f aca="false">"1.06"</f>
        <v>1.06</v>
      </c>
      <c r="L672" s="0" t="str">
        <f aca="false">"11.54"</f>
        <v>11.54</v>
      </c>
      <c r="M672" s="0" t="str">
        <f aca="false">"-154.0"</f>
        <v>-154.0</v>
      </c>
    </row>
    <row r="673" customFormat="false" ht="12.8" hidden="false" customHeight="false" outlineLevel="0" collapsed="false">
      <c r="A673" s="0" t="s">
        <v>8</v>
      </c>
      <c r="B673" s="0" t="s">
        <v>9</v>
      </c>
      <c r="C673" s="0" t="str">
        <f aca="false">"131-142"</f>
        <v>131-142</v>
      </c>
      <c r="D673" s="0" t="s">
        <v>9</v>
      </c>
      <c r="E673" s="0" t="str">
        <f aca="false">"233-244"</f>
        <v>233-244</v>
      </c>
      <c r="F673" s="0" t="s">
        <v>695</v>
      </c>
      <c r="G673" s="0" t="s">
        <v>9</v>
      </c>
      <c r="H673" s="0" t="str">
        <f aca="false">"281-292"</f>
        <v>281-292</v>
      </c>
      <c r="I673" s="0" t="s">
        <v>9</v>
      </c>
      <c r="J673" s="0" t="str">
        <f aca="false">"241-252"</f>
        <v>241-252</v>
      </c>
      <c r="K673" s="0" t="str">
        <f aca="false">"0.93"</f>
        <v>0.93</v>
      </c>
      <c r="L673" s="0" t="str">
        <f aca="false">"10.36"</f>
        <v>10.36</v>
      </c>
      <c r="M673" s="0" t="str">
        <f aca="false">"-144.4"</f>
        <v>-144.4</v>
      </c>
    </row>
    <row r="674" customFormat="false" ht="12.8" hidden="false" customHeight="false" outlineLevel="0" collapsed="false">
      <c r="A674" s="0" t="s">
        <v>8</v>
      </c>
      <c r="B674" s="0" t="s">
        <v>9</v>
      </c>
      <c r="C674" s="0" t="str">
        <f aca="false">"135-146"</f>
        <v>135-146</v>
      </c>
      <c r="D674" s="0" t="s">
        <v>9</v>
      </c>
      <c r="E674" s="0" t="str">
        <f aca="false">"227-238"</f>
        <v>227-238</v>
      </c>
      <c r="F674" s="0" t="s">
        <v>696</v>
      </c>
      <c r="G674" s="0" t="s">
        <v>9</v>
      </c>
      <c r="H674" s="0" t="str">
        <f aca="false">"463-474"</f>
        <v>463-474</v>
      </c>
      <c r="I674" s="0" t="s">
        <v>9</v>
      </c>
      <c r="J674" s="0" t="str">
        <f aca="false">"481-492"</f>
        <v>481-492</v>
      </c>
      <c r="K674" s="0" t="str">
        <f aca="false">"1.05"</f>
        <v>1.05</v>
      </c>
      <c r="L674" s="0" t="str">
        <f aca="false">"9.12"</f>
        <v>9.12</v>
      </c>
      <c r="M674" s="0" t="str">
        <f aca="false">"-140.9"</f>
        <v>-140.9</v>
      </c>
    </row>
    <row r="675" customFormat="false" ht="12.8" hidden="false" customHeight="false" outlineLevel="0" collapsed="false">
      <c r="A675" s="0" t="s">
        <v>8</v>
      </c>
      <c r="B675" s="0" t="s">
        <v>9</v>
      </c>
      <c r="C675" s="0" t="str">
        <f aca="false">"137-148"</f>
        <v>137-148</v>
      </c>
      <c r="D675" s="0" t="s">
        <v>9</v>
      </c>
      <c r="E675" s="0" t="str">
        <f aca="false">"227-238"</f>
        <v>227-238</v>
      </c>
      <c r="F675" s="0" t="s">
        <v>697</v>
      </c>
      <c r="G675" s="0" t="s">
        <v>9</v>
      </c>
      <c r="H675" s="0" t="str">
        <f aca="false">"282-293"</f>
        <v>282-293</v>
      </c>
      <c r="I675" s="0" t="s">
        <v>9</v>
      </c>
      <c r="J675" s="0" t="str">
        <f aca="false">"296-307"</f>
        <v>296-307</v>
      </c>
      <c r="K675" s="0" t="str">
        <f aca="false">"1.17"</f>
        <v>1.17</v>
      </c>
      <c r="L675" s="0" t="str">
        <f aca="false">"9.06"</f>
        <v>9.06</v>
      </c>
      <c r="M675" s="0" t="str">
        <f aca="false">"-138.5"</f>
        <v>-138.5</v>
      </c>
    </row>
    <row r="676" customFormat="false" ht="12.8" hidden="false" customHeight="false" outlineLevel="0" collapsed="false">
      <c r="A676" s="0" t="s">
        <v>8</v>
      </c>
      <c r="B676" s="0" t="s">
        <v>9</v>
      </c>
      <c r="C676" s="0" t="str">
        <f aca="false">"134-145"</f>
        <v>134-145</v>
      </c>
      <c r="D676" s="0" t="s">
        <v>9</v>
      </c>
      <c r="E676" s="0" t="str">
        <f aca="false">"227-238"</f>
        <v>227-238</v>
      </c>
      <c r="F676" s="0" t="s">
        <v>698</v>
      </c>
      <c r="G676" s="0" t="s">
        <v>9</v>
      </c>
      <c r="H676" s="0" t="str">
        <f aca="false">"13-24"</f>
        <v>13-24</v>
      </c>
      <c r="I676" s="0" t="s">
        <v>9</v>
      </c>
      <c r="J676" s="0" t="str">
        <f aca="false">"35-46"</f>
        <v>35-46</v>
      </c>
      <c r="K676" s="0" t="str">
        <f aca="false">"1.11"</f>
        <v>1.11</v>
      </c>
      <c r="L676" s="0" t="str">
        <f aca="false">"9.68"</f>
        <v>9.68</v>
      </c>
      <c r="M676" s="0" t="str">
        <f aca="false">"-146.3"</f>
        <v>-146.3</v>
      </c>
    </row>
    <row r="677" customFormat="false" ht="12.8" hidden="false" customHeight="false" outlineLevel="0" collapsed="false">
      <c r="A677" s="0" t="s">
        <v>8</v>
      </c>
      <c r="B677" s="0" t="s">
        <v>9</v>
      </c>
      <c r="C677" s="0" t="str">
        <f aca="false">"135-146"</f>
        <v>135-146</v>
      </c>
      <c r="D677" s="0" t="s">
        <v>9</v>
      </c>
      <c r="E677" s="0" t="str">
        <f aca="false">"227-238"</f>
        <v>227-238</v>
      </c>
      <c r="F677" s="0" t="s">
        <v>699</v>
      </c>
      <c r="G677" s="0" t="s">
        <v>13</v>
      </c>
      <c r="H677" s="0" t="str">
        <f aca="false">"112-123"</f>
        <v>112-123</v>
      </c>
      <c r="I677" s="0" t="s">
        <v>13</v>
      </c>
      <c r="J677" s="0" t="str">
        <f aca="false">"97-108"</f>
        <v>97-108</v>
      </c>
      <c r="K677" s="0" t="str">
        <f aca="false">"0.98"</f>
        <v>0.98</v>
      </c>
      <c r="L677" s="0" t="str">
        <f aca="false">"8.00"</f>
        <v>8.00</v>
      </c>
      <c r="M677" s="0" t="str">
        <f aca="false">"-164.5"</f>
        <v>-164.5</v>
      </c>
    </row>
    <row r="678" customFormat="false" ht="12.8" hidden="false" customHeight="false" outlineLevel="0" collapsed="false">
      <c r="A678" s="0" t="s">
        <v>8</v>
      </c>
      <c r="B678" s="0" t="s">
        <v>9</v>
      </c>
      <c r="C678" s="0" t="str">
        <f aca="false">"134-145"</f>
        <v>134-145</v>
      </c>
      <c r="D678" s="0" t="s">
        <v>9</v>
      </c>
      <c r="E678" s="0" t="str">
        <f aca="false">"227-238"</f>
        <v>227-238</v>
      </c>
      <c r="F678" s="0" t="s">
        <v>700</v>
      </c>
      <c r="G678" s="0" t="s">
        <v>9</v>
      </c>
      <c r="H678" s="0" t="str">
        <f aca="false">"256-267"</f>
        <v>256-267</v>
      </c>
      <c r="I678" s="0" t="s">
        <v>9</v>
      </c>
      <c r="J678" s="0" t="str">
        <f aca="false">"274-285"</f>
        <v>274-285</v>
      </c>
      <c r="K678" s="0" t="str">
        <f aca="false">"0.99"</f>
        <v>0.99</v>
      </c>
      <c r="L678" s="0" t="str">
        <f aca="false">"10.05"</f>
        <v>10.05</v>
      </c>
      <c r="M678" s="0" t="str">
        <f aca="false">"-159.4"</f>
        <v>-159.4</v>
      </c>
    </row>
    <row r="679" customFormat="false" ht="12.8" hidden="false" customHeight="false" outlineLevel="0" collapsed="false">
      <c r="A679" s="0" t="s">
        <v>8</v>
      </c>
      <c r="B679" s="0" t="s">
        <v>9</v>
      </c>
      <c r="C679" s="0" t="str">
        <f aca="false">"129-140"</f>
        <v>129-140</v>
      </c>
      <c r="D679" s="0" t="s">
        <v>9</v>
      </c>
      <c r="E679" s="0" t="str">
        <f aca="false">"230-241"</f>
        <v>230-241</v>
      </c>
      <c r="F679" s="0" t="s">
        <v>701</v>
      </c>
      <c r="G679" s="0" t="s">
        <v>9</v>
      </c>
      <c r="H679" s="0" t="str">
        <f aca="false">"30-41"</f>
        <v>30-41</v>
      </c>
      <c r="I679" s="0" t="s">
        <v>9</v>
      </c>
      <c r="J679" s="0" t="str">
        <f aca="false">"45-56"</f>
        <v>45-56</v>
      </c>
      <c r="K679" s="0" t="str">
        <f aca="false">"0.84"</f>
        <v>0.84</v>
      </c>
      <c r="L679" s="0" t="str">
        <f aca="false">"10.57"</f>
        <v>10.57</v>
      </c>
      <c r="M679" s="0" t="str">
        <f aca="false">"-154.0"</f>
        <v>-154.0</v>
      </c>
    </row>
    <row r="680" customFormat="false" ht="12.8" hidden="false" customHeight="false" outlineLevel="0" collapsed="false">
      <c r="A680" s="0" t="s">
        <v>8</v>
      </c>
      <c r="B680" s="0" t="s">
        <v>9</v>
      </c>
      <c r="C680" s="0" t="str">
        <f aca="false">"135-146"</f>
        <v>135-146</v>
      </c>
      <c r="D680" s="0" t="s">
        <v>9</v>
      </c>
      <c r="E680" s="0" t="str">
        <f aca="false">"225-236"</f>
        <v>225-236</v>
      </c>
      <c r="F680" s="0" t="s">
        <v>702</v>
      </c>
      <c r="G680" s="0" t="s">
        <v>9</v>
      </c>
      <c r="H680" s="0" t="str">
        <f aca="false">"335-346"</f>
        <v>335-346</v>
      </c>
      <c r="I680" s="0" t="s">
        <v>9</v>
      </c>
      <c r="J680" s="0" t="str">
        <f aca="false">"354-365"</f>
        <v>354-365</v>
      </c>
      <c r="K680" s="0" t="str">
        <f aca="false">"0.91"</f>
        <v>0.91</v>
      </c>
      <c r="L680" s="0" t="str">
        <f aca="false">"9.79"</f>
        <v>9.79</v>
      </c>
      <c r="M680" s="0" t="str">
        <f aca="false">"-138.6"</f>
        <v>-138.6</v>
      </c>
    </row>
    <row r="681" customFormat="false" ht="12.8" hidden="false" customHeight="false" outlineLevel="0" collapsed="false">
      <c r="A681" s="0" t="s">
        <v>8</v>
      </c>
      <c r="B681" s="0" t="s">
        <v>9</v>
      </c>
      <c r="C681" s="0" t="str">
        <f aca="false">"133-144"</f>
        <v>133-144</v>
      </c>
      <c r="D681" s="0" t="s">
        <v>9</v>
      </c>
      <c r="E681" s="0" t="str">
        <f aca="false">"228-239"</f>
        <v>228-239</v>
      </c>
      <c r="F681" s="0" t="s">
        <v>703</v>
      </c>
      <c r="G681" s="0" t="s">
        <v>13</v>
      </c>
      <c r="H681" s="0" t="str">
        <f aca="false">"259-270"</f>
        <v>259-270</v>
      </c>
      <c r="I681" s="0" t="s">
        <v>9</v>
      </c>
      <c r="J681" s="0" t="str">
        <f aca="false">"259-270"</f>
        <v>259-270</v>
      </c>
      <c r="K681" s="0" t="str">
        <f aca="false">"0.94"</f>
        <v>0.94</v>
      </c>
      <c r="L681" s="0" t="str">
        <f aca="false">"8.74"</f>
        <v>8.74</v>
      </c>
      <c r="M681" s="0" t="str">
        <f aca="false">"-157.2"</f>
        <v>-157.2</v>
      </c>
    </row>
    <row r="682" customFormat="false" ht="12.8" hidden="false" customHeight="false" outlineLevel="0" collapsed="false">
      <c r="A682" s="0" t="s">
        <v>8</v>
      </c>
      <c r="B682" s="0" t="s">
        <v>9</v>
      </c>
      <c r="C682" s="0" t="str">
        <f aca="false">"134-145"</f>
        <v>134-145</v>
      </c>
      <c r="D682" s="0" t="s">
        <v>9</v>
      </c>
      <c r="E682" s="0" t="str">
        <f aca="false">"228-239"</f>
        <v>228-239</v>
      </c>
      <c r="F682" s="0" t="s">
        <v>704</v>
      </c>
      <c r="G682" s="0" t="s">
        <v>9</v>
      </c>
      <c r="H682" s="0" t="str">
        <f aca="false">"247-258"</f>
        <v>247-258</v>
      </c>
      <c r="I682" s="0" t="s">
        <v>9</v>
      </c>
      <c r="J682" s="0" t="str">
        <f aca="false">"332-343"</f>
        <v>332-343</v>
      </c>
      <c r="K682" s="0" t="str">
        <f aca="false">"1.21"</f>
        <v>1.21</v>
      </c>
      <c r="L682" s="0" t="str">
        <f aca="false">"9.20"</f>
        <v>9.20</v>
      </c>
      <c r="M682" s="0" t="str">
        <f aca="false">"-148.7"</f>
        <v>-148.7</v>
      </c>
    </row>
    <row r="683" customFormat="false" ht="12.8" hidden="false" customHeight="false" outlineLevel="0" collapsed="false">
      <c r="A683" s="0" t="s">
        <v>8</v>
      </c>
      <c r="B683" s="0" t="s">
        <v>9</v>
      </c>
      <c r="C683" s="0" t="str">
        <f aca="false">"135-146"</f>
        <v>135-146</v>
      </c>
      <c r="D683" s="0" t="s">
        <v>9</v>
      </c>
      <c r="E683" s="0" t="str">
        <f aca="false">"229-240"</f>
        <v>229-240</v>
      </c>
      <c r="F683" s="0" t="s">
        <v>705</v>
      </c>
      <c r="G683" s="0" t="s">
        <v>9</v>
      </c>
      <c r="H683" s="0" t="str">
        <f aca="false">"932-943"</f>
        <v>932-943</v>
      </c>
      <c r="I683" s="0" t="s">
        <v>9</v>
      </c>
      <c r="J683" s="0" t="str">
        <f aca="false">"833-844"</f>
        <v>833-844</v>
      </c>
      <c r="K683" s="0" t="str">
        <f aca="false">"0.69"</f>
        <v>0.69</v>
      </c>
      <c r="L683" s="0" t="str">
        <f aca="false">"9.13"</f>
        <v>9.13</v>
      </c>
      <c r="M683" s="0" t="str">
        <f aca="false">"-159.6"</f>
        <v>-159.6</v>
      </c>
    </row>
    <row r="684" customFormat="false" ht="12.8" hidden="false" customHeight="false" outlineLevel="0" collapsed="false">
      <c r="A684" s="0" t="s">
        <v>8</v>
      </c>
      <c r="B684" s="0" t="s">
        <v>9</v>
      </c>
      <c r="C684" s="0" t="str">
        <f aca="false">"137-148"</f>
        <v>137-148</v>
      </c>
      <c r="D684" s="0" t="s">
        <v>9</v>
      </c>
      <c r="E684" s="0" t="str">
        <f aca="false">"228-239"</f>
        <v>228-239</v>
      </c>
      <c r="F684" s="0" t="s">
        <v>706</v>
      </c>
      <c r="G684" s="0" t="s">
        <v>707</v>
      </c>
      <c r="H684" s="0" t="str">
        <f aca="false">"145-156"</f>
        <v>145-156</v>
      </c>
      <c r="I684" s="0" t="s">
        <v>55</v>
      </c>
      <c r="J684" s="0" t="str">
        <f aca="false">"177-188"</f>
        <v>177-188</v>
      </c>
      <c r="K684" s="0" t="str">
        <f aca="false">"0.89"</f>
        <v>0.89</v>
      </c>
      <c r="L684" s="0" t="str">
        <f aca="false">"9.10"</f>
        <v>9.10</v>
      </c>
      <c r="M684" s="0" t="str">
        <f aca="false">"-147.7"</f>
        <v>-147.7</v>
      </c>
    </row>
    <row r="685" customFormat="false" ht="12.8" hidden="false" customHeight="false" outlineLevel="0" collapsed="false">
      <c r="A685" s="0" t="s">
        <v>8</v>
      </c>
      <c r="B685" s="0" t="s">
        <v>9</v>
      </c>
      <c r="C685" s="0" t="str">
        <f aca="false">"132-143"</f>
        <v>132-143</v>
      </c>
      <c r="D685" s="0" t="s">
        <v>9</v>
      </c>
      <c r="E685" s="0" t="str">
        <f aca="false">"234-245"</f>
        <v>234-245</v>
      </c>
      <c r="F685" s="0" t="s">
        <v>708</v>
      </c>
      <c r="G685" s="0" t="s">
        <v>13</v>
      </c>
      <c r="H685" s="0" t="str">
        <f aca="false">"141-152"</f>
        <v>141-152</v>
      </c>
      <c r="I685" s="0" t="s">
        <v>9</v>
      </c>
      <c r="J685" s="0" t="str">
        <f aca="false">"141-152"</f>
        <v>141-152</v>
      </c>
      <c r="K685" s="0" t="str">
        <f aca="false">"0.95"</f>
        <v>0.95</v>
      </c>
      <c r="L685" s="0" t="str">
        <f aca="false">"11.04"</f>
        <v>11.04</v>
      </c>
      <c r="M685" s="0" t="str">
        <f aca="false">"-156.8"</f>
        <v>-156.8</v>
      </c>
    </row>
    <row r="686" customFormat="false" ht="12.8" hidden="false" customHeight="false" outlineLevel="0" collapsed="false">
      <c r="A686" s="0" t="s">
        <v>8</v>
      </c>
      <c r="B686" s="0" t="s">
        <v>9</v>
      </c>
      <c r="C686" s="0" t="str">
        <f aca="false">"130-141"</f>
        <v>130-141</v>
      </c>
      <c r="D686" s="0" t="s">
        <v>9</v>
      </c>
      <c r="E686" s="0" t="str">
        <f aca="false">"235-246"</f>
        <v>235-246</v>
      </c>
      <c r="F686" s="0" t="s">
        <v>709</v>
      </c>
      <c r="G686" s="0" t="s">
        <v>9</v>
      </c>
      <c r="H686" s="0" t="str">
        <f aca="false">"261-272"</f>
        <v>261-272</v>
      </c>
      <c r="I686" s="0" t="s">
        <v>9</v>
      </c>
      <c r="J686" s="0" t="str">
        <f aca="false">"279-290"</f>
        <v>279-290</v>
      </c>
      <c r="K686" s="0" t="str">
        <f aca="false">"1.05"</f>
        <v>1.05</v>
      </c>
      <c r="L686" s="0" t="str">
        <f aca="false">"10.23"</f>
        <v>10.23</v>
      </c>
      <c r="M686" s="0" t="str">
        <f aca="false">"-148.4"</f>
        <v>-148.4</v>
      </c>
    </row>
    <row r="687" customFormat="false" ht="12.8" hidden="false" customHeight="false" outlineLevel="0" collapsed="false">
      <c r="A687" s="0" t="s">
        <v>8</v>
      </c>
      <c r="B687" s="0" t="s">
        <v>9</v>
      </c>
      <c r="C687" s="0" t="str">
        <f aca="false">"129-140"</f>
        <v>129-140</v>
      </c>
      <c r="D687" s="0" t="s">
        <v>9</v>
      </c>
      <c r="E687" s="0" t="str">
        <f aca="false">"231-242"</f>
        <v>231-242</v>
      </c>
      <c r="F687" s="0" t="s">
        <v>710</v>
      </c>
      <c r="G687" s="0" t="s">
        <v>9</v>
      </c>
      <c r="H687" s="0" t="str">
        <f aca="false">"324-335"</f>
        <v>324-335</v>
      </c>
      <c r="I687" s="0" t="s">
        <v>9</v>
      </c>
      <c r="J687" s="0" t="str">
        <f aca="false">"304-315"</f>
        <v>304-315</v>
      </c>
      <c r="K687" s="0" t="str">
        <f aca="false">"1.05"</f>
        <v>1.05</v>
      </c>
      <c r="L687" s="0" t="str">
        <f aca="false">"10.66"</f>
        <v>10.66</v>
      </c>
      <c r="M687" s="0" t="str">
        <f aca="false">"-153.1"</f>
        <v>-153.1</v>
      </c>
    </row>
    <row r="688" customFormat="false" ht="12.8" hidden="false" customHeight="false" outlineLevel="0" collapsed="false">
      <c r="A688" s="0" t="s">
        <v>8</v>
      </c>
      <c r="B688" s="0" t="s">
        <v>9</v>
      </c>
      <c r="C688" s="0" t="str">
        <f aca="false">"131-142"</f>
        <v>131-142</v>
      </c>
      <c r="D688" s="0" t="s">
        <v>9</v>
      </c>
      <c r="E688" s="0" t="str">
        <f aca="false">"231-242"</f>
        <v>231-242</v>
      </c>
      <c r="F688" s="0" t="s">
        <v>711</v>
      </c>
      <c r="G688" s="0" t="s">
        <v>9</v>
      </c>
      <c r="H688" s="0" t="str">
        <f aca="false">"24-35"</f>
        <v>24-35</v>
      </c>
      <c r="I688" s="0" t="s">
        <v>9</v>
      </c>
      <c r="J688" s="0" t="str">
        <f aca="false">"300-311"</f>
        <v>300-311</v>
      </c>
      <c r="K688" s="0" t="str">
        <f aca="false">"0.88"</f>
        <v>0.88</v>
      </c>
      <c r="L688" s="0" t="str">
        <f aca="false">"10.71"</f>
        <v>10.71</v>
      </c>
      <c r="M688" s="0" t="str">
        <f aca="false">"-156.5"</f>
        <v>-156.5</v>
      </c>
    </row>
    <row r="689" customFormat="false" ht="12.8" hidden="false" customHeight="false" outlineLevel="0" collapsed="false">
      <c r="A689" s="0" t="s">
        <v>8</v>
      </c>
      <c r="B689" s="0" t="s">
        <v>9</v>
      </c>
      <c r="C689" s="0" t="str">
        <f aca="false">"136-147"</f>
        <v>136-147</v>
      </c>
      <c r="D689" s="0" t="s">
        <v>9</v>
      </c>
      <c r="E689" s="0" t="str">
        <f aca="false">"226-237"</f>
        <v>226-237</v>
      </c>
      <c r="F689" s="0" t="s">
        <v>712</v>
      </c>
      <c r="G689" s="0" t="s">
        <v>9</v>
      </c>
      <c r="H689" s="0" t="str">
        <f aca="false">"123-134"</f>
        <v>123-134</v>
      </c>
      <c r="I689" s="0" t="s">
        <v>9</v>
      </c>
      <c r="J689" s="0" t="str">
        <f aca="false">"98-109"</f>
        <v>98-109</v>
      </c>
      <c r="K689" s="0" t="str">
        <f aca="false">"1.08"</f>
        <v>1.08</v>
      </c>
      <c r="L689" s="0" t="str">
        <f aca="false">"9.25"</f>
        <v>9.25</v>
      </c>
      <c r="M689" s="0" t="str">
        <f aca="false">"-137.1"</f>
        <v>-137.1</v>
      </c>
    </row>
    <row r="690" customFormat="false" ht="12.8" hidden="false" customHeight="false" outlineLevel="0" collapsed="false">
      <c r="A690" s="0" t="s">
        <v>8</v>
      </c>
      <c r="B690" s="0" t="s">
        <v>9</v>
      </c>
      <c r="C690" s="0" t="str">
        <f aca="false">"131-142"</f>
        <v>131-142</v>
      </c>
      <c r="D690" s="0" t="s">
        <v>9</v>
      </c>
      <c r="E690" s="0" t="str">
        <f aca="false">"232-243"</f>
        <v>232-243</v>
      </c>
      <c r="F690" s="0" t="s">
        <v>713</v>
      </c>
      <c r="G690" s="0" t="s">
        <v>9</v>
      </c>
      <c r="H690" s="0" t="str">
        <f aca="false">"465-476"</f>
        <v>465-476</v>
      </c>
      <c r="I690" s="0" t="s">
        <v>9</v>
      </c>
      <c r="J690" s="0" t="str">
        <f aca="false">"412-423"</f>
        <v>412-423</v>
      </c>
      <c r="K690" s="0" t="str">
        <f aca="false">"0.90"</f>
        <v>0.90</v>
      </c>
      <c r="L690" s="0" t="str">
        <f aca="false">"9.70"</f>
        <v>9.70</v>
      </c>
      <c r="M690" s="0" t="str">
        <f aca="false">"-147.4"</f>
        <v>-147.4</v>
      </c>
    </row>
    <row r="691" customFormat="false" ht="12.8" hidden="false" customHeight="false" outlineLevel="0" collapsed="false">
      <c r="A691" s="0" t="s">
        <v>8</v>
      </c>
      <c r="B691" s="0" t="s">
        <v>9</v>
      </c>
      <c r="C691" s="0" t="str">
        <f aca="false">"137-148"</f>
        <v>137-148</v>
      </c>
      <c r="D691" s="0" t="s">
        <v>9</v>
      </c>
      <c r="E691" s="0" t="str">
        <f aca="false">"225-236"</f>
        <v>225-236</v>
      </c>
      <c r="F691" s="0" t="s">
        <v>714</v>
      </c>
      <c r="G691" s="0" t="s">
        <v>9</v>
      </c>
      <c r="H691" s="0" t="str">
        <f aca="false">"331-342"</f>
        <v>331-342</v>
      </c>
      <c r="I691" s="0" t="s">
        <v>9</v>
      </c>
      <c r="J691" s="0" t="str">
        <f aca="false">"311-322"</f>
        <v>311-322</v>
      </c>
      <c r="K691" s="0" t="str">
        <f aca="false">"0.94"</f>
        <v>0.94</v>
      </c>
      <c r="L691" s="0" t="str">
        <f aca="false">"10.57"</f>
        <v>10.57</v>
      </c>
      <c r="M691" s="0" t="str">
        <f aca="false">"-146.4"</f>
        <v>-146.4</v>
      </c>
    </row>
    <row r="692" customFormat="false" ht="12.8" hidden="false" customHeight="false" outlineLevel="0" collapsed="false">
      <c r="A692" s="0" t="s">
        <v>8</v>
      </c>
      <c r="B692" s="0" t="s">
        <v>9</v>
      </c>
      <c r="C692" s="0" t="str">
        <f aca="false">"131-142"</f>
        <v>131-142</v>
      </c>
      <c r="D692" s="0" t="s">
        <v>9</v>
      </c>
      <c r="E692" s="0" t="str">
        <f aca="false">"232-243"</f>
        <v>232-243</v>
      </c>
      <c r="F692" s="0" t="s">
        <v>715</v>
      </c>
      <c r="G692" s="0" t="s">
        <v>9</v>
      </c>
      <c r="H692" s="0" t="str">
        <f aca="false">"85-96"</f>
        <v>85-96</v>
      </c>
      <c r="I692" s="0" t="s">
        <v>13</v>
      </c>
      <c r="J692" s="0" t="str">
        <f aca="false">"84-95"</f>
        <v>84-95</v>
      </c>
      <c r="K692" s="0" t="str">
        <f aca="false">"0.67"</f>
        <v>0.67</v>
      </c>
      <c r="L692" s="0" t="str">
        <f aca="false">"10.21"</f>
        <v>10.21</v>
      </c>
      <c r="M692" s="0" t="str">
        <f aca="false">"-152.1"</f>
        <v>-152.1</v>
      </c>
    </row>
    <row r="693" customFormat="false" ht="12.8" hidden="false" customHeight="false" outlineLevel="0" collapsed="false">
      <c r="A693" s="0" t="s">
        <v>8</v>
      </c>
      <c r="B693" s="0" t="s">
        <v>9</v>
      </c>
      <c r="C693" s="0" t="str">
        <f aca="false">"130-141"</f>
        <v>130-141</v>
      </c>
      <c r="D693" s="0" t="s">
        <v>9</v>
      </c>
      <c r="E693" s="0" t="str">
        <f aca="false">"232-243"</f>
        <v>232-243</v>
      </c>
      <c r="F693" s="0" t="s">
        <v>716</v>
      </c>
      <c r="G693" s="0" t="s">
        <v>13</v>
      </c>
      <c r="H693" s="0" t="str">
        <f aca="false">"166-177"</f>
        <v>166-177</v>
      </c>
      <c r="I693" s="0" t="s">
        <v>13</v>
      </c>
      <c r="J693" s="0" t="str">
        <f aca="false">"133-144"</f>
        <v>133-144</v>
      </c>
      <c r="K693" s="0" t="str">
        <f aca="false">"1.01"</f>
        <v>1.01</v>
      </c>
      <c r="L693" s="0" t="str">
        <f aca="false">"10.66"</f>
        <v>10.66</v>
      </c>
      <c r="M693" s="0" t="str">
        <f aca="false">"-169.6"</f>
        <v>-169.6</v>
      </c>
    </row>
    <row r="694" customFormat="false" ht="12.8" hidden="false" customHeight="false" outlineLevel="0" collapsed="false">
      <c r="A694" s="0" t="s">
        <v>8</v>
      </c>
      <c r="B694" s="0" t="s">
        <v>9</v>
      </c>
      <c r="C694" s="0" t="str">
        <f aca="false">"135-146"</f>
        <v>135-146</v>
      </c>
      <c r="D694" s="0" t="s">
        <v>9</v>
      </c>
      <c r="E694" s="0" t="str">
        <f aca="false">"228-239"</f>
        <v>228-239</v>
      </c>
      <c r="F694" s="0" t="s">
        <v>717</v>
      </c>
      <c r="G694" s="0" t="s">
        <v>13</v>
      </c>
      <c r="H694" s="0" t="str">
        <f aca="false">"257-268"</f>
        <v>257-268</v>
      </c>
      <c r="I694" s="0" t="s">
        <v>13</v>
      </c>
      <c r="J694" s="0" t="str">
        <f aca="false">"225-236"</f>
        <v>225-236</v>
      </c>
      <c r="K694" s="0" t="str">
        <f aca="false">"1.15"</f>
        <v>1.15</v>
      </c>
      <c r="L694" s="0" t="str">
        <f aca="false">"8.36"</f>
        <v>8.36</v>
      </c>
      <c r="M694" s="0" t="str">
        <f aca="false">"-148.9"</f>
        <v>-148.9</v>
      </c>
    </row>
    <row r="695" customFormat="false" ht="12.8" hidden="false" customHeight="false" outlineLevel="0" collapsed="false">
      <c r="A695" s="0" t="s">
        <v>8</v>
      </c>
      <c r="B695" s="0" t="s">
        <v>9</v>
      </c>
      <c r="C695" s="0" t="str">
        <f aca="false">"134-145"</f>
        <v>134-145</v>
      </c>
      <c r="D695" s="0" t="s">
        <v>9</v>
      </c>
      <c r="E695" s="0" t="str">
        <f aca="false">"228-239"</f>
        <v>228-239</v>
      </c>
      <c r="F695" s="0" t="s">
        <v>718</v>
      </c>
      <c r="G695" s="0" t="s">
        <v>9</v>
      </c>
      <c r="H695" s="0" t="str">
        <f aca="false">"101-112"</f>
        <v>101-112</v>
      </c>
      <c r="I695" s="0" t="s">
        <v>9</v>
      </c>
      <c r="J695" s="0" t="str">
        <f aca="false">"118-129"</f>
        <v>118-129</v>
      </c>
      <c r="K695" s="0" t="str">
        <f aca="false">"1.05"</f>
        <v>1.05</v>
      </c>
      <c r="L695" s="0" t="str">
        <f aca="false">"9.52"</f>
        <v>9.52</v>
      </c>
      <c r="M695" s="0" t="str">
        <f aca="false">"-147.7"</f>
        <v>-147.7</v>
      </c>
    </row>
    <row r="696" customFormat="false" ht="12.8" hidden="false" customHeight="false" outlineLevel="0" collapsed="false">
      <c r="A696" s="0" t="s">
        <v>8</v>
      </c>
      <c r="B696" s="0" t="s">
        <v>9</v>
      </c>
      <c r="C696" s="0" t="str">
        <f aca="false">"135-146"</f>
        <v>135-146</v>
      </c>
      <c r="D696" s="0" t="s">
        <v>9</v>
      </c>
      <c r="E696" s="0" t="str">
        <f aca="false">"230-241"</f>
        <v>230-241</v>
      </c>
      <c r="F696" s="0" t="s">
        <v>719</v>
      </c>
      <c r="G696" s="0" t="s">
        <v>13</v>
      </c>
      <c r="H696" s="0" t="str">
        <f aca="false">"216-227"</f>
        <v>216-227</v>
      </c>
      <c r="I696" s="0" t="s">
        <v>9</v>
      </c>
      <c r="J696" s="0" t="str">
        <f aca="false">"116-127"</f>
        <v>116-127</v>
      </c>
      <c r="K696" s="0" t="str">
        <f aca="false">"1.22"</f>
        <v>1.22</v>
      </c>
      <c r="L696" s="0" t="str">
        <f aca="false">"10.34"</f>
        <v>10.34</v>
      </c>
      <c r="M696" s="0" t="str">
        <f aca="false">"-144.4"</f>
        <v>-144.4</v>
      </c>
    </row>
    <row r="697" customFormat="false" ht="12.8" hidden="false" customHeight="false" outlineLevel="0" collapsed="false">
      <c r="A697" s="0" t="s">
        <v>8</v>
      </c>
      <c r="B697" s="0" t="s">
        <v>9</v>
      </c>
      <c r="C697" s="0" t="str">
        <f aca="false">"134-145"</f>
        <v>134-145</v>
      </c>
      <c r="D697" s="0" t="s">
        <v>9</v>
      </c>
      <c r="E697" s="0" t="str">
        <f aca="false">"232-243"</f>
        <v>232-243</v>
      </c>
      <c r="F697" s="0" t="s">
        <v>720</v>
      </c>
      <c r="G697" s="0" t="s">
        <v>9</v>
      </c>
      <c r="H697" s="0" t="str">
        <f aca="false">"766-777"</f>
        <v>766-777</v>
      </c>
      <c r="I697" s="0" t="s">
        <v>9</v>
      </c>
      <c r="J697" s="0" t="str">
        <f aca="false">"793-804"</f>
        <v>793-804</v>
      </c>
      <c r="K697" s="0" t="str">
        <f aca="false">"1.15"</f>
        <v>1.15</v>
      </c>
      <c r="L697" s="0" t="str">
        <f aca="false">"10.77"</f>
        <v>10.77</v>
      </c>
      <c r="M697" s="0" t="str">
        <f aca="false">"-146.6"</f>
        <v>-146.6</v>
      </c>
    </row>
    <row r="698" customFormat="false" ht="12.8" hidden="false" customHeight="false" outlineLevel="0" collapsed="false">
      <c r="A698" s="0" t="s">
        <v>8</v>
      </c>
      <c r="B698" s="0" t="s">
        <v>9</v>
      </c>
      <c r="C698" s="0" t="str">
        <f aca="false">"130-141"</f>
        <v>130-141</v>
      </c>
      <c r="D698" s="0" t="s">
        <v>9</v>
      </c>
      <c r="E698" s="0" t="str">
        <f aca="false">"234-245"</f>
        <v>234-245</v>
      </c>
      <c r="F698" s="0" t="s">
        <v>721</v>
      </c>
      <c r="G698" s="0" t="s">
        <v>24</v>
      </c>
      <c r="H698" s="0" t="str">
        <f aca="false">"345-356"</f>
        <v>345-356</v>
      </c>
      <c r="I698" s="0" t="s">
        <v>24</v>
      </c>
      <c r="J698" s="0" t="str">
        <f aca="false">"364-375"</f>
        <v>364-375</v>
      </c>
      <c r="K698" s="0" t="str">
        <f aca="false">"0.95"</f>
        <v>0.95</v>
      </c>
      <c r="L698" s="0" t="str">
        <f aca="false">"10.50"</f>
        <v>10.50</v>
      </c>
      <c r="M698" s="0" t="str">
        <f aca="false">"-142.1"</f>
        <v>-142.1</v>
      </c>
    </row>
    <row r="699" customFormat="false" ht="12.8" hidden="false" customHeight="false" outlineLevel="0" collapsed="false">
      <c r="A699" s="0" t="s">
        <v>8</v>
      </c>
      <c r="B699" s="0" t="s">
        <v>9</v>
      </c>
      <c r="C699" s="0" t="str">
        <f aca="false">"137-148"</f>
        <v>137-148</v>
      </c>
      <c r="D699" s="0" t="s">
        <v>9</v>
      </c>
      <c r="E699" s="0" t="str">
        <f aca="false">"227-238"</f>
        <v>227-238</v>
      </c>
      <c r="F699" s="0" t="s">
        <v>722</v>
      </c>
      <c r="G699" s="0" t="s">
        <v>9</v>
      </c>
      <c r="H699" s="0" t="str">
        <f aca="false">"257-268"</f>
        <v>257-268</v>
      </c>
      <c r="I699" s="0" t="s">
        <v>9</v>
      </c>
      <c r="J699" s="0" t="str">
        <f aca="false">"271-282"</f>
        <v>271-282</v>
      </c>
      <c r="K699" s="0" t="str">
        <f aca="false">"1.05"</f>
        <v>1.05</v>
      </c>
      <c r="L699" s="0" t="str">
        <f aca="false">"9.12"</f>
        <v>9.12</v>
      </c>
      <c r="M699" s="0" t="str">
        <f aca="false">"-140.8"</f>
        <v>-140.8</v>
      </c>
    </row>
    <row r="700" customFormat="false" ht="12.8" hidden="false" customHeight="false" outlineLevel="0" collapsed="false">
      <c r="A700" s="0" t="s">
        <v>8</v>
      </c>
      <c r="B700" s="0" t="s">
        <v>9</v>
      </c>
      <c r="C700" s="0" t="str">
        <f aca="false">"131-142"</f>
        <v>131-142</v>
      </c>
      <c r="D700" s="0" t="s">
        <v>9</v>
      </c>
      <c r="E700" s="0" t="str">
        <f aca="false">"234-245"</f>
        <v>234-245</v>
      </c>
      <c r="F700" s="0" t="s">
        <v>723</v>
      </c>
      <c r="G700" s="0" t="s">
        <v>9</v>
      </c>
      <c r="H700" s="0" t="str">
        <f aca="false">"432-443"</f>
        <v>432-443</v>
      </c>
      <c r="I700" s="0" t="s">
        <v>9</v>
      </c>
      <c r="J700" s="0" t="str">
        <f aca="false">"451-462"</f>
        <v>451-462</v>
      </c>
      <c r="K700" s="0" t="str">
        <f aca="false">"1.23"</f>
        <v>1.23</v>
      </c>
      <c r="L700" s="0" t="str">
        <f aca="false">"11.15"</f>
        <v>11.15</v>
      </c>
      <c r="M700" s="0" t="str">
        <f aca="false">"-154.9"</f>
        <v>-154.9</v>
      </c>
    </row>
    <row r="701" customFormat="false" ht="12.8" hidden="false" customHeight="false" outlineLevel="0" collapsed="false">
      <c r="A701" s="0" t="s">
        <v>8</v>
      </c>
      <c r="B701" s="0" t="s">
        <v>9</v>
      </c>
      <c r="C701" s="0" t="str">
        <f aca="false">"130-141"</f>
        <v>130-141</v>
      </c>
      <c r="D701" s="0" t="s">
        <v>9</v>
      </c>
      <c r="E701" s="0" t="str">
        <f aca="false">"235-246"</f>
        <v>235-246</v>
      </c>
      <c r="F701" s="0" t="s">
        <v>724</v>
      </c>
      <c r="G701" s="0" t="s">
        <v>13</v>
      </c>
      <c r="H701" s="0" t="str">
        <f aca="false">"129-140"</f>
        <v>129-140</v>
      </c>
      <c r="I701" s="0" t="s">
        <v>13</v>
      </c>
      <c r="J701" s="0" t="str">
        <f aca="false">"83-94"</f>
        <v>83-94</v>
      </c>
      <c r="K701" s="0" t="str">
        <f aca="false">"1.07"</f>
        <v>1.07</v>
      </c>
      <c r="L701" s="0" t="str">
        <f aca="false">"10.19"</f>
        <v>10.19</v>
      </c>
      <c r="M701" s="0" t="str">
        <f aca="false">"-146.1"</f>
        <v>-146.1</v>
      </c>
    </row>
    <row r="702" customFormat="false" ht="12.8" hidden="false" customHeight="false" outlineLevel="0" collapsed="false">
      <c r="A702" s="0" t="s">
        <v>8</v>
      </c>
      <c r="B702" s="0" t="s">
        <v>9</v>
      </c>
      <c r="C702" s="0" t="str">
        <f aca="false">"137-148"</f>
        <v>137-148</v>
      </c>
      <c r="D702" s="0" t="s">
        <v>9</v>
      </c>
      <c r="E702" s="0" t="str">
        <f aca="false">"225-236"</f>
        <v>225-236</v>
      </c>
      <c r="F702" s="0" t="s">
        <v>725</v>
      </c>
      <c r="G702" s="0" t="s">
        <v>9</v>
      </c>
      <c r="H702" s="0" t="str">
        <f aca="false">"514-525"</f>
        <v>514-525</v>
      </c>
      <c r="I702" s="0" t="s">
        <v>9</v>
      </c>
      <c r="J702" s="0" t="str">
        <f aca="false">"494-505"</f>
        <v>494-505</v>
      </c>
      <c r="K702" s="0" t="str">
        <f aca="false">"1.16"</f>
        <v>1.16</v>
      </c>
      <c r="L702" s="0" t="str">
        <f aca="false">"10.65"</f>
        <v>10.65</v>
      </c>
      <c r="M702" s="0" t="str">
        <f aca="false">"-142.3"</f>
        <v>-142.3</v>
      </c>
    </row>
    <row r="703" customFormat="false" ht="12.8" hidden="false" customHeight="false" outlineLevel="0" collapsed="false">
      <c r="A703" s="0" t="s">
        <v>8</v>
      </c>
      <c r="B703" s="0" t="s">
        <v>9</v>
      </c>
      <c r="C703" s="0" t="str">
        <f aca="false">"131-142"</f>
        <v>131-142</v>
      </c>
      <c r="D703" s="0" t="s">
        <v>9</v>
      </c>
      <c r="E703" s="0" t="str">
        <f aca="false">"231-242"</f>
        <v>231-242</v>
      </c>
      <c r="F703" s="0" t="s">
        <v>726</v>
      </c>
      <c r="G703" s="0" t="s">
        <v>9</v>
      </c>
      <c r="H703" s="0" t="str">
        <f aca="false">"262-273"</f>
        <v>262-273</v>
      </c>
      <c r="I703" s="0" t="s">
        <v>9</v>
      </c>
      <c r="J703" s="0" t="str">
        <f aca="false">"281-292"</f>
        <v>281-292</v>
      </c>
      <c r="K703" s="0" t="str">
        <f aca="false">"1.16"</f>
        <v>1.16</v>
      </c>
      <c r="L703" s="0" t="str">
        <f aca="false">"10.48"</f>
        <v>10.48</v>
      </c>
      <c r="M703" s="0" t="str">
        <f aca="false">"-142.0"</f>
        <v>-142.0</v>
      </c>
    </row>
    <row r="704" customFormat="false" ht="12.8" hidden="false" customHeight="false" outlineLevel="0" collapsed="false">
      <c r="A704" s="0" t="s">
        <v>8</v>
      </c>
      <c r="B704" s="0" t="s">
        <v>9</v>
      </c>
      <c r="C704" s="0" t="str">
        <f aca="false">"127-138"</f>
        <v>127-138</v>
      </c>
      <c r="D704" s="0" t="s">
        <v>9</v>
      </c>
      <c r="E704" s="0" t="str">
        <f aca="false">"235-246"</f>
        <v>235-246</v>
      </c>
      <c r="F704" s="0" t="s">
        <v>727</v>
      </c>
      <c r="G704" s="0" t="s">
        <v>9</v>
      </c>
      <c r="H704" s="0" t="str">
        <f aca="false">"656-667"</f>
        <v>656-667</v>
      </c>
      <c r="I704" s="0" t="s">
        <v>9</v>
      </c>
      <c r="J704" s="0" t="str">
        <f aca="false">"676-687"</f>
        <v>676-687</v>
      </c>
      <c r="K704" s="0" t="str">
        <f aca="false">"1.14"</f>
        <v>1.14</v>
      </c>
      <c r="L704" s="0" t="str">
        <f aca="false">"11.18"</f>
        <v>11.18</v>
      </c>
      <c r="M704" s="0" t="str">
        <f aca="false">"-136.7"</f>
        <v>-136.7</v>
      </c>
    </row>
    <row r="705" customFormat="false" ht="12.8" hidden="false" customHeight="false" outlineLevel="0" collapsed="false">
      <c r="A705" s="0" t="s">
        <v>8</v>
      </c>
      <c r="B705" s="0" t="s">
        <v>9</v>
      </c>
      <c r="C705" s="0" t="str">
        <f aca="false">"129-140"</f>
        <v>129-140</v>
      </c>
      <c r="D705" s="0" t="s">
        <v>9</v>
      </c>
      <c r="E705" s="0" t="str">
        <f aca="false">"229-240"</f>
        <v>229-240</v>
      </c>
      <c r="F705" s="0" t="s">
        <v>728</v>
      </c>
      <c r="G705" s="0" t="s">
        <v>9</v>
      </c>
      <c r="H705" s="0" t="str">
        <f aca="false">"293-304"</f>
        <v>293-304</v>
      </c>
      <c r="I705" s="0" t="s">
        <v>9</v>
      </c>
      <c r="J705" s="0" t="str">
        <f aca="false">"316-327"</f>
        <v>316-327</v>
      </c>
      <c r="K705" s="0" t="str">
        <f aca="false">"0.83"</f>
        <v>0.83</v>
      </c>
      <c r="L705" s="0" t="str">
        <f aca="false">"12.74"</f>
        <v>12.74</v>
      </c>
      <c r="M705" s="0" t="str">
        <f aca="false">"-153.9"</f>
        <v>-153.9</v>
      </c>
    </row>
    <row r="706" customFormat="false" ht="12.8" hidden="false" customHeight="false" outlineLevel="0" collapsed="false">
      <c r="A706" s="0" t="s">
        <v>8</v>
      </c>
      <c r="B706" s="0" t="s">
        <v>9</v>
      </c>
      <c r="C706" s="0" t="str">
        <f aca="false">"133-144"</f>
        <v>133-144</v>
      </c>
      <c r="D706" s="0" t="s">
        <v>9</v>
      </c>
      <c r="E706" s="0" t="str">
        <f aca="false">"229-240"</f>
        <v>229-240</v>
      </c>
      <c r="F706" s="0" t="s">
        <v>729</v>
      </c>
      <c r="G706" s="0" t="s">
        <v>9</v>
      </c>
      <c r="H706" s="0" t="str">
        <f aca="false">"377-388"</f>
        <v>377-388</v>
      </c>
      <c r="I706" s="0" t="s">
        <v>9</v>
      </c>
      <c r="J706" s="0" t="str">
        <f aca="false">"34-45"</f>
        <v>34-45</v>
      </c>
      <c r="K706" s="0" t="str">
        <f aca="false">"1.10"</f>
        <v>1.10</v>
      </c>
      <c r="L706" s="0" t="str">
        <f aca="false">"10.67"</f>
        <v>10.67</v>
      </c>
      <c r="M706" s="0" t="str">
        <f aca="false">"-152.7"</f>
        <v>-152.7</v>
      </c>
    </row>
    <row r="707" customFormat="false" ht="12.8" hidden="false" customHeight="false" outlineLevel="0" collapsed="false">
      <c r="A707" s="0" t="s">
        <v>8</v>
      </c>
      <c r="B707" s="0" t="s">
        <v>9</v>
      </c>
      <c r="C707" s="0" t="str">
        <f aca="false">"131-142"</f>
        <v>131-142</v>
      </c>
      <c r="D707" s="0" t="s">
        <v>9</v>
      </c>
      <c r="E707" s="0" t="str">
        <f aca="false">"233-244"</f>
        <v>233-244</v>
      </c>
      <c r="F707" s="0" t="s">
        <v>730</v>
      </c>
      <c r="G707" s="0" t="s">
        <v>9</v>
      </c>
      <c r="H707" s="0" t="str">
        <f aca="false">"5-16"</f>
        <v>5-16</v>
      </c>
      <c r="I707" s="0" t="s">
        <v>13</v>
      </c>
      <c r="J707" s="0" t="str">
        <f aca="false">"5-16"</f>
        <v>5-16</v>
      </c>
      <c r="K707" s="0" t="str">
        <f aca="false">"1.10"</f>
        <v>1.10</v>
      </c>
      <c r="L707" s="0" t="str">
        <f aca="false">"9.05"</f>
        <v>9.05</v>
      </c>
      <c r="M707" s="0" t="str">
        <f aca="false">"-169.4"</f>
        <v>-169.4</v>
      </c>
    </row>
    <row r="708" customFormat="false" ht="12.8" hidden="false" customHeight="false" outlineLevel="0" collapsed="false">
      <c r="A708" s="0" t="s">
        <v>8</v>
      </c>
      <c r="B708" s="0" t="s">
        <v>9</v>
      </c>
      <c r="C708" s="0" t="str">
        <f aca="false">"133-144"</f>
        <v>133-144</v>
      </c>
      <c r="D708" s="0" t="s">
        <v>9</v>
      </c>
      <c r="E708" s="0" t="str">
        <f aca="false">"229-240"</f>
        <v>229-240</v>
      </c>
      <c r="F708" s="0" t="s">
        <v>731</v>
      </c>
      <c r="G708" s="0" t="s">
        <v>13</v>
      </c>
      <c r="H708" s="0" t="str">
        <f aca="false">"32-43"</f>
        <v>32-43</v>
      </c>
      <c r="I708" s="0" t="s">
        <v>13</v>
      </c>
      <c r="J708" s="0" t="str">
        <f aca="false">"15-26"</f>
        <v>15-26</v>
      </c>
      <c r="K708" s="0" t="str">
        <f aca="false">"1.10"</f>
        <v>1.10</v>
      </c>
      <c r="L708" s="0" t="str">
        <f aca="false">"9.27"</f>
        <v>9.27</v>
      </c>
      <c r="M708" s="0" t="str">
        <f aca="false">"-135.5"</f>
        <v>-135.5</v>
      </c>
    </row>
    <row r="709" customFormat="false" ht="12.8" hidden="false" customHeight="false" outlineLevel="0" collapsed="false">
      <c r="A709" s="0" t="s">
        <v>8</v>
      </c>
      <c r="B709" s="0" t="s">
        <v>9</v>
      </c>
      <c r="C709" s="0" t="str">
        <f aca="false">"127-138"</f>
        <v>127-138</v>
      </c>
      <c r="D709" s="0" t="s">
        <v>9</v>
      </c>
      <c r="E709" s="0" t="str">
        <f aca="false">"232-243"</f>
        <v>232-243</v>
      </c>
      <c r="F709" s="0" t="s">
        <v>732</v>
      </c>
      <c r="G709" s="0" t="s">
        <v>13</v>
      </c>
      <c r="H709" s="0" t="str">
        <f aca="false">"652-663"</f>
        <v>652-663</v>
      </c>
      <c r="I709" s="0" t="s">
        <v>13</v>
      </c>
      <c r="J709" s="0" t="str">
        <f aca="false">"622-633"</f>
        <v>622-633</v>
      </c>
      <c r="K709" s="0" t="str">
        <f aca="false">"1.13"</f>
        <v>1.13</v>
      </c>
      <c r="L709" s="0" t="str">
        <f aca="false">"11.37"</f>
        <v>11.37</v>
      </c>
      <c r="M709" s="0" t="str">
        <f aca="false">"-153.1"</f>
        <v>-153.1</v>
      </c>
    </row>
    <row r="710" customFormat="false" ht="12.8" hidden="false" customHeight="false" outlineLevel="0" collapsed="false">
      <c r="A710" s="0" t="s">
        <v>8</v>
      </c>
      <c r="B710" s="0" t="s">
        <v>9</v>
      </c>
      <c r="C710" s="0" t="str">
        <f aca="false">"130-141"</f>
        <v>130-141</v>
      </c>
      <c r="D710" s="0" t="s">
        <v>9</v>
      </c>
      <c r="E710" s="0" t="str">
        <f aca="false">"228-239"</f>
        <v>228-239</v>
      </c>
      <c r="F710" s="0" t="s">
        <v>733</v>
      </c>
      <c r="G710" s="0" t="s">
        <v>9</v>
      </c>
      <c r="H710" s="0" t="str">
        <f aca="false">"314-325"</f>
        <v>314-325</v>
      </c>
      <c r="I710" s="0" t="s">
        <v>9</v>
      </c>
      <c r="J710" s="0" t="str">
        <f aca="false">"13-24"</f>
        <v>13-24</v>
      </c>
      <c r="K710" s="0" t="str">
        <f aca="false">"0.99"</f>
        <v>0.99</v>
      </c>
      <c r="L710" s="0" t="str">
        <f aca="false">"12.01"</f>
        <v>12.01</v>
      </c>
      <c r="M710" s="0" t="str">
        <f aca="false">"-147.3"</f>
        <v>-147.3</v>
      </c>
    </row>
    <row r="711" customFormat="false" ht="12.8" hidden="false" customHeight="false" outlineLevel="0" collapsed="false">
      <c r="A711" s="0" t="s">
        <v>8</v>
      </c>
      <c r="B711" s="0" t="s">
        <v>9</v>
      </c>
      <c r="C711" s="0" t="str">
        <f aca="false">"130-141"</f>
        <v>130-141</v>
      </c>
      <c r="D711" s="0" t="s">
        <v>9</v>
      </c>
      <c r="E711" s="0" t="str">
        <f aca="false">"229-240"</f>
        <v>229-240</v>
      </c>
      <c r="F711" s="0" t="s">
        <v>734</v>
      </c>
      <c r="G711" s="0" t="s">
        <v>9</v>
      </c>
      <c r="H711" s="0" t="str">
        <f aca="false">"456-467"</f>
        <v>456-467</v>
      </c>
      <c r="I711" s="0" t="s">
        <v>9</v>
      </c>
      <c r="J711" s="0" t="str">
        <f aca="false">"379-390"</f>
        <v>379-390</v>
      </c>
      <c r="K711" s="0" t="str">
        <f aca="false">"0.82"</f>
        <v>0.82</v>
      </c>
      <c r="L711" s="0" t="str">
        <f aca="false">"10.85"</f>
        <v>10.85</v>
      </c>
      <c r="M711" s="0" t="str">
        <f aca="false">"-155.3"</f>
        <v>-155.3</v>
      </c>
    </row>
    <row r="712" customFormat="false" ht="12.8" hidden="false" customHeight="false" outlineLevel="0" collapsed="false">
      <c r="A712" s="0" t="s">
        <v>8</v>
      </c>
      <c r="B712" s="0" t="s">
        <v>9</v>
      </c>
      <c r="C712" s="0" t="str">
        <f aca="false">"129-140"</f>
        <v>129-140</v>
      </c>
      <c r="D712" s="0" t="s">
        <v>9</v>
      </c>
      <c r="E712" s="0" t="str">
        <f aca="false">"233-244"</f>
        <v>233-244</v>
      </c>
      <c r="F712" s="0" t="s">
        <v>735</v>
      </c>
      <c r="G712" s="0" t="s">
        <v>13</v>
      </c>
      <c r="H712" s="0" t="str">
        <f aca="false">"172-183"</f>
        <v>172-183</v>
      </c>
      <c r="I712" s="0" t="s">
        <v>13</v>
      </c>
      <c r="J712" s="0" t="str">
        <f aca="false">"192-203"</f>
        <v>192-203</v>
      </c>
      <c r="K712" s="0" t="str">
        <f aca="false">"1.20"</f>
        <v>1.20</v>
      </c>
      <c r="L712" s="0" t="str">
        <f aca="false">"10.64"</f>
        <v>10.64</v>
      </c>
      <c r="M712" s="0" t="str">
        <f aca="false">"-141.5"</f>
        <v>-141.5</v>
      </c>
    </row>
    <row r="713" customFormat="false" ht="12.8" hidden="false" customHeight="false" outlineLevel="0" collapsed="false">
      <c r="A713" s="0" t="s">
        <v>8</v>
      </c>
      <c r="B713" s="0" t="s">
        <v>9</v>
      </c>
      <c r="C713" s="0" t="str">
        <f aca="false">"133-144"</f>
        <v>133-144</v>
      </c>
      <c r="D713" s="0" t="s">
        <v>9</v>
      </c>
      <c r="E713" s="0" t="str">
        <f aca="false">"230-241"</f>
        <v>230-241</v>
      </c>
      <c r="F713" s="0" t="s">
        <v>736</v>
      </c>
      <c r="G713" s="0" t="s">
        <v>9</v>
      </c>
      <c r="H713" s="0" t="str">
        <f aca="false">"383-394"</f>
        <v>383-394</v>
      </c>
      <c r="I713" s="0" t="s">
        <v>9</v>
      </c>
      <c r="J713" s="0" t="str">
        <f aca="false">"397-408"</f>
        <v>397-408</v>
      </c>
      <c r="K713" s="0" t="str">
        <f aca="false">"0.61"</f>
        <v>0.61</v>
      </c>
      <c r="L713" s="0" t="str">
        <f aca="false">"9.20"</f>
        <v>9.20</v>
      </c>
      <c r="M713" s="0" t="str">
        <f aca="false">"-156.7"</f>
        <v>-156.7</v>
      </c>
    </row>
    <row r="714" customFormat="false" ht="12.8" hidden="false" customHeight="false" outlineLevel="0" collapsed="false">
      <c r="A714" s="0" t="s">
        <v>8</v>
      </c>
      <c r="B714" s="0" t="s">
        <v>9</v>
      </c>
      <c r="C714" s="0" t="str">
        <f aca="false">"134-145"</f>
        <v>134-145</v>
      </c>
      <c r="D714" s="0" t="s">
        <v>9</v>
      </c>
      <c r="E714" s="0" t="str">
        <f aca="false">"230-241"</f>
        <v>230-241</v>
      </c>
      <c r="F714" s="0" t="s">
        <v>737</v>
      </c>
      <c r="G714" s="0" t="s">
        <v>9</v>
      </c>
      <c r="H714" s="0" t="str">
        <f aca="false">"168-179"</f>
        <v>168-179</v>
      </c>
      <c r="I714" s="0" t="s">
        <v>9</v>
      </c>
      <c r="J714" s="0" t="str">
        <f aca="false">"233-244"</f>
        <v>233-244</v>
      </c>
      <c r="K714" s="0" t="str">
        <f aca="false">"0.76"</f>
        <v>0.76</v>
      </c>
      <c r="L714" s="0" t="str">
        <f aca="false">"9.43"</f>
        <v>9.43</v>
      </c>
      <c r="M714" s="0" t="str">
        <f aca="false">"-146.8"</f>
        <v>-146.8</v>
      </c>
    </row>
    <row r="715" customFormat="false" ht="12.8" hidden="false" customHeight="false" outlineLevel="0" collapsed="false">
      <c r="A715" s="0" t="s">
        <v>8</v>
      </c>
      <c r="B715" s="0" t="s">
        <v>9</v>
      </c>
      <c r="C715" s="0" t="str">
        <f aca="false">"135-146"</f>
        <v>135-146</v>
      </c>
      <c r="D715" s="0" t="s">
        <v>9</v>
      </c>
      <c r="E715" s="0" t="str">
        <f aca="false">"228-239"</f>
        <v>228-239</v>
      </c>
      <c r="F715" s="0" t="s">
        <v>738</v>
      </c>
      <c r="G715" s="0" t="s">
        <v>9</v>
      </c>
      <c r="H715" s="0" t="str">
        <f aca="false">"305-316"</f>
        <v>305-316</v>
      </c>
      <c r="I715" s="0" t="s">
        <v>9</v>
      </c>
      <c r="J715" s="0" t="str">
        <f aca="false">"289-300"</f>
        <v>289-300</v>
      </c>
      <c r="K715" s="0" t="str">
        <f aca="false">"1.11"</f>
        <v>1.11</v>
      </c>
      <c r="L715" s="0" t="str">
        <f aca="false">"9.72"</f>
        <v>9.72</v>
      </c>
      <c r="M715" s="0" t="str">
        <f aca="false">"-144.9"</f>
        <v>-144.9</v>
      </c>
    </row>
    <row r="716" customFormat="false" ht="12.8" hidden="false" customHeight="false" outlineLevel="0" collapsed="false">
      <c r="A716" s="0" t="s">
        <v>8</v>
      </c>
      <c r="B716" s="0" t="s">
        <v>9</v>
      </c>
      <c r="C716" s="0" t="str">
        <f aca="false">"135-146"</f>
        <v>135-146</v>
      </c>
      <c r="D716" s="0" t="s">
        <v>9</v>
      </c>
      <c r="E716" s="0" t="str">
        <f aca="false">"227-238"</f>
        <v>227-238</v>
      </c>
      <c r="F716" s="0" t="s">
        <v>739</v>
      </c>
      <c r="G716" s="0" t="s">
        <v>9</v>
      </c>
      <c r="H716" s="0" t="str">
        <f aca="false">"293-304"</f>
        <v>293-304</v>
      </c>
      <c r="I716" s="0" t="s">
        <v>9</v>
      </c>
      <c r="J716" s="0" t="str">
        <f aca="false">"309-320"</f>
        <v>309-320</v>
      </c>
      <c r="K716" s="0" t="str">
        <f aca="false">"1.01"</f>
        <v>1.01</v>
      </c>
      <c r="L716" s="0" t="str">
        <f aca="false">"10.53"</f>
        <v>10.53</v>
      </c>
      <c r="M716" s="0" t="str">
        <f aca="false">"-145.9"</f>
        <v>-145.9</v>
      </c>
    </row>
    <row r="717" customFormat="false" ht="12.8" hidden="false" customHeight="false" outlineLevel="0" collapsed="false">
      <c r="A717" s="0" t="s">
        <v>8</v>
      </c>
      <c r="B717" s="0" t="s">
        <v>9</v>
      </c>
      <c r="C717" s="0" t="str">
        <f aca="false">"130-141"</f>
        <v>130-141</v>
      </c>
      <c r="D717" s="0" t="s">
        <v>9</v>
      </c>
      <c r="E717" s="0" t="str">
        <f aca="false">"228-239"</f>
        <v>228-239</v>
      </c>
      <c r="F717" s="0" t="s">
        <v>740</v>
      </c>
      <c r="G717" s="0" t="s">
        <v>9</v>
      </c>
      <c r="H717" s="0" t="str">
        <f aca="false">"90-101"</f>
        <v>90-101</v>
      </c>
      <c r="I717" s="0" t="s">
        <v>9</v>
      </c>
      <c r="J717" s="0" t="str">
        <f aca="false">"60-71"</f>
        <v>60-71</v>
      </c>
      <c r="K717" s="0" t="str">
        <f aca="false">"1.23"</f>
        <v>1.23</v>
      </c>
      <c r="L717" s="0" t="str">
        <f aca="false">"11.30"</f>
        <v>11.30</v>
      </c>
      <c r="M717" s="0" t="str">
        <f aca="false">"-140.4"</f>
        <v>-140.4</v>
      </c>
    </row>
    <row r="718" customFormat="false" ht="12.8" hidden="false" customHeight="false" outlineLevel="0" collapsed="false">
      <c r="A718" s="0" t="s">
        <v>8</v>
      </c>
      <c r="B718" s="0" t="s">
        <v>9</v>
      </c>
      <c r="C718" s="0" t="str">
        <f aca="false">"129-140"</f>
        <v>129-140</v>
      </c>
      <c r="D718" s="0" t="s">
        <v>9</v>
      </c>
      <c r="E718" s="0" t="str">
        <f aca="false">"228-239"</f>
        <v>228-239</v>
      </c>
      <c r="F718" s="0" t="s">
        <v>741</v>
      </c>
      <c r="G718" s="0" t="s">
        <v>9</v>
      </c>
      <c r="H718" s="0" t="str">
        <f aca="false">"554-565"</f>
        <v>554-565</v>
      </c>
      <c r="I718" s="0" t="s">
        <v>9</v>
      </c>
      <c r="J718" s="0" t="str">
        <f aca="false">"515-526"</f>
        <v>515-526</v>
      </c>
      <c r="K718" s="0" t="str">
        <f aca="false">"1.20"</f>
        <v>1.20</v>
      </c>
      <c r="L718" s="0" t="str">
        <f aca="false">"11.99"</f>
        <v>11.99</v>
      </c>
      <c r="M718" s="0" t="str">
        <f aca="false">"-147.5"</f>
        <v>-147.5</v>
      </c>
    </row>
    <row r="719" customFormat="false" ht="12.8" hidden="false" customHeight="false" outlineLevel="0" collapsed="false">
      <c r="A719" s="0" t="s">
        <v>8</v>
      </c>
      <c r="B719" s="0" t="s">
        <v>9</v>
      </c>
      <c r="C719" s="0" t="str">
        <f aca="false">"132-143"</f>
        <v>132-143</v>
      </c>
      <c r="D719" s="0" t="s">
        <v>9</v>
      </c>
      <c r="E719" s="0" t="str">
        <f aca="false">"226-237"</f>
        <v>226-237</v>
      </c>
      <c r="F719" s="0" t="s">
        <v>742</v>
      </c>
      <c r="G719" s="0" t="s">
        <v>13</v>
      </c>
      <c r="H719" s="0" t="str">
        <f aca="false">"58-69"</f>
        <v>58-69</v>
      </c>
      <c r="I719" s="0" t="s">
        <v>13</v>
      </c>
      <c r="J719" s="0" t="str">
        <f aca="false">"76-87"</f>
        <v>76-87</v>
      </c>
      <c r="K719" s="0" t="str">
        <f aca="false">"1.18"</f>
        <v>1.18</v>
      </c>
      <c r="L719" s="0" t="str">
        <f aca="false">"11.16"</f>
        <v>11.16</v>
      </c>
      <c r="M719" s="0" t="str">
        <f aca="false">"-147.0"</f>
        <v>-147.0</v>
      </c>
    </row>
    <row r="720" customFormat="false" ht="12.8" hidden="false" customHeight="false" outlineLevel="0" collapsed="false">
      <c r="A720" s="0" t="s">
        <v>8</v>
      </c>
      <c r="B720" s="0" t="s">
        <v>9</v>
      </c>
      <c r="C720" s="0" t="str">
        <f aca="false">"127-138"</f>
        <v>127-138</v>
      </c>
      <c r="D720" s="0" t="s">
        <v>9</v>
      </c>
      <c r="E720" s="0" t="str">
        <f aca="false">"229-240"</f>
        <v>229-240</v>
      </c>
      <c r="F720" s="0" t="s">
        <v>743</v>
      </c>
      <c r="G720" s="0" t="s">
        <v>9</v>
      </c>
      <c r="H720" s="0" t="str">
        <f aca="false">"444-455"</f>
        <v>444-455</v>
      </c>
      <c r="I720" s="0" t="s">
        <v>9</v>
      </c>
      <c r="J720" s="0" t="str">
        <f aca="false">"366-377"</f>
        <v>366-377</v>
      </c>
      <c r="K720" s="0" t="str">
        <f aca="false">"1.12"</f>
        <v>1.12</v>
      </c>
      <c r="L720" s="0" t="str">
        <f aca="false">"13.27"</f>
        <v>13.27</v>
      </c>
      <c r="M720" s="0" t="str">
        <f aca="false">"-151.6"</f>
        <v>-151.6</v>
      </c>
    </row>
    <row r="721" customFormat="false" ht="12.8" hidden="false" customHeight="false" outlineLevel="0" collapsed="false">
      <c r="A721" s="0" t="s">
        <v>8</v>
      </c>
      <c r="B721" s="0" t="s">
        <v>9</v>
      </c>
      <c r="C721" s="0" t="str">
        <f aca="false">"128-139"</f>
        <v>128-139</v>
      </c>
      <c r="D721" s="0" t="s">
        <v>9</v>
      </c>
      <c r="E721" s="0" t="str">
        <f aca="false">"230-241"</f>
        <v>230-241</v>
      </c>
      <c r="F721" s="0" t="s">
        <v>744</v>
      </c>
      <c r="G721" s="0" t="s">
        <v>9</v>
      </c>
      <c r="H721" s="0" t="str">
        <f aca="false">"272-283"</f>
        <v>272-283</v>
      </c>
      <c r="I721" s="0" t="s">
        <v>9</v>
      </c>
      <c r="J721" s="0" t="str">
        <f aca="false">"249-260"</f>
        <v>249-260</v>
      </c>
      <c r="K721" s="0" t="str">
        <f aca="false">"1.25"</f>
        <v>1.25</v>
      </c>
      <c r="L721" s="0" t="str">
        <f aca="false">"11.34"</f>
        <v>11.34</v>
      </c>
      <c r="M721" s="0" t="str">
        <f aca="false">"-142.9"</f>
        <v>-142.9</v>
      </c>
    </row>
    <row r="722" customFormat="false" ht="12.8" hidden="false" customHeight="false" outlineLevel="0" collapsed="false">
      <c r="A722" s="0" t="s">
        <v>8</v>
      </c>
      <c r="B722" s="0" t="s">
        <v>9</v>
      </c>
      <c r="C722" s="0" t="str">
        <f aca="false">"127-138"</f>
        <v>127-138</v>
      </c>
      <c r="D722" s="0" t="s">
        <v>9</v>
      </c>
      <c r="E722" s="0" t="str">
        <f aca="false">"235-246"</f>
        <v>235-246</v>
      </c>
      <c r="F722" s="0" t="s">
        <v>745</v>
      </c>
      <c r="G722" s="0" t="s">
        <v>13</v>
      </c>
      <c r="H722" s="0" t="str">
        <f aca="false">"200-211"</f>
        <v>200-211</v>
      </c>
      <c r="I722" s="0" t="s">
        <v>13</v>
      </c>
      <c r="J722" s="0" t="str">
        <f aca="false">"187-198"</f>
        <v>187-198</v>
      </c>
      <c r="K722" s="0" t="str">
        <f aca="false">"1.19"</f>
        <v>1.19</v>
      </c>
      <c r="L722" s="0" t="str">
        <f aca="false">"10.17"</f>
        <v>10.17</v>
      </c>
      <c r="M722" s="0" t="str">
        <f aca="false">"-164.7"</f>
        <v>-164.7</v>
      </c>
    </row>
    <row r="723" customFormat="false" ht="12.8" hidden="false" customHeight="false" outlineLevel="0" collapsed="false">
      <c r="A723" s="0" t="s">
        <v>8</v>
      </c>
      <c r="B723" s="0" t="s">
        <v>9</v>
      </c>
      <c r="C723" s="0" t="str">
        <f aca="false">"130-141"</f>
        <v>130-141</v>
      </c>
      <c r="D723" s="0" t="s">
        <v>9</v>
      </c>
      <c r="E723" s="0" t="str">
        <f aca="false">"230-241"</f>
        <v>230-241</v>
      </c>
      <c r="F723" s="0" t="s">
        <v>746</v>
      </c>
      <c r="G723" s="0" t="s">
        <v>9</v>
      </c>
      <c r="H723" s="0" t="str">
        <f aca="false">"48-59"</f>
        <v>48-59</v>
      </c>
      <c r="I723" s="0" t="s">
        <v>9</v>
      </c>
      <c r="J723" s="0" t="str">
        <f aca="false">"28-39"</f>
        <v>28-39</v>
      </c>
      <c r="K723" s="0" t="str">
        <f aca="false">"0.95"</f>
        <v>0.95</v>
      </c>
      <c r="L723" s="0" t="str">
        <f aca="false">"10.54"</f>
        <v>10.54</v>
      </c>
      <c r="M723" s="0" t="str">
        <f aca="false">"-168.6"</f>
        <v>-168.6</v>
      </c>
    </row>
    <row r="724" customFormat="false" ht="12.8" hidden="false" customHeight="false" outlineLevel="0" collapsed="false">
      <c r="A724" s="0" t="s">
        <v>8</v>
      </c>
      <c r="B724" s="0" t="s">
        <v>9</v>
      </c>
      <c r="C724" s="0" t="str">
        <f aca="false">"136-147"</f>
        <v>136-147</v>
      </c>
      <c r="D724" s="0" t="s">
        <v>9</v>
      </c>
      <c r="E724" s="0" t="str">
        <f aca="false">"226-237"</f>
        <v>226-237</v>
      </c>
      <c r="F724" s="0" t="s">
        <v>747</v>
      </c>
      <c r="G724" s="0" t="s">
        <v>13</v>
      </c>
      <c r="H724" s="0" t="str">
        <f aca="false">"352-363"</f>
        <v>352-363</v>
      </c>
      <c r="I724" s="0" t="s">
        <v>13</v>
      </c>
      <c r="J724" s="0" t="str">
        <f aca="false">"324-335"</f>
        <v>324-335</v>
      </c>
      <c r="K724" s="0" t="str">
        <f aca="false">"1.16"</f>
        <v>1.16</v>
      </c>
      <c r="L724" s="0" t="str">
        <f aca="false">"8.10"</f>
        <v>8.10</v>
      </c>
      <c r="M724" s="0" t="str">
        <f aca="false">"-152.6"</f>
        <v>-152.6</v>
      </c>
    </row>
    <row r="725" customFormat="false" ht="12.8" hidden="false" customHeight="false" outlineLevel="0" collapsed="false">
      <c r="A725" s="0" t="s">
        <v>8</v>
      </c>
      <c r="B725" s="0" t="s">
        <v>9</v>
      </c>
      <c r="C725" s="0" t="str">
        <f aca="false">"130-141"</f>
        <v>130-141</v>
      </c>
      <c r="D725" s="0" t="s">
        <v>9</v>
      </c>
      <c r="E725" s="0" t="str">
        <f aca="false">"234-245"</f>
        <v>234-245</v>
      </c>
      <c r="F725" s="0" t="s">
        <v>748</v>
      </c>
      <c r="G725" s="0" t="s">
        <v>9</v>
      </c>
      <c r="H725" s="0" t="str">
        <f aca="false">"152-163"</f>
        <v>152-163</v>
      </c>
      <c r="I725" s="0" t="s">
        <v>9</v>
      </c>
      <c r="J725" s="0" t="str">
        <f aca="false">"184-195"</f>
        <v>184-195</v>
      </c>
      <c r="K725" s="0" t="str">
        <f aca="false">"0.92"</f>
        <v>0.92</v>
      </c>
      <c r="L725" s="0" t="str">
        <f aca="false">"10.47"</f>
        <v>10.47</v>
      </c>
      <c r="M725" s="0" t="str">
        <f aca="false">"-158.7"</f>
        <v>-158.7</v>
      </c>
    </row>
    <row r="726" customFormat="false" ht="12.8" hidden="false" customHeight="false" outlineLevel="0" collapsed="false">
      <c r="A726" s="0" t="s">
        <v>8</v>
      </c>
      <c r="B726" s="0" t="s">
        <v>9</v>
      </c>
      <c r="C726" s="0" t="str">
        <f aca="false">"132-143"</f>
        <v>132-143</v>
      </c>
      <c r="D726" s="0" t="s">
        <v>9</v>
      </c>
      <c r="E726" s="0" t="str">
        <f aca="false">"226-237"</f>
        <v>226-237</v>
      </c>
      <c r="F726" s="0" t="s">
        <v>749</v>
      </c>
      <c r="G726" s="0" t="s">
        <v>9</v>
      </c>
      <c r="H726" s="0" t="str">
        <f aca="false">"62-73"</f>
        <v>62-73</v>
      </c>
      <c r="I726" s="0" t="s">
        <v>9</v>
      </c>
      <c r="J726" s="0" t="str">
        <f aca="false">"77-88"</f>
        <v>77-88</v>
      </c>
      <c r="K726" s="0" t="str">
        <f aca="false">"1.21"</f>
        <v>1.21</v>
      </c>
      <c r="L726" s="0" t="str">
        <f aca="false">"12.03"</f>
        <v>12.03</v>
      </c>
      <c r="M726" s="0" t="str">
        <f aca="false">"-146.3"</f>
        <v>-146.3</v>
      </c>
    </row>
    <row r="727" customFormat="false" ht="12.8" hidden="false" customHeight="false" outlineLevel="0" collapsed="false">
      <c r="A727" s="0" t="s">
        <v>8</v>
      </c>
      <c r="B727" s="0" t="s">
        <v>9</v>
      </c>
      <c r="C727" s="0" t="str">
        <f aca="false">"133-144"</f>
        <v>133-144</v>
      </c>
      <c r="D727" s="0" t="s">
        <v>9</v>
      </c>
      <c r="E727" s="0" t="str">
        <f aca="false">"231-242"</f>
        <v>231-242</v>
      </c>
      <c r="F727" s="0" t="s">
        <v>750</v>
      </c>
      <c r="G727" s="0" t="s">
        <v>13</v>
      </c>
      <c r="H727" s="0" t="str">
        <f aca="false">"102-113"</f>
        <v>102-113</v>
      </c>
      <c r="I727" s="0" t="s">
        <v>13</v>
      </c>
      <c r="J727" s="0" t="str">
        <f aca="false">"116-127"</f>
        <v>116-127</v>
      </c>
      <c r="K727" s="0" t="str">
        <f aca="false">"1.23"</f>
        <v>1.23</v>
      </c>
      <c r="L727" s="0" t="str">
        <f aca="false">"8.94"</f>
        <v>8.94</v>
      </c>
      <c r="M727" s="0" t="str">
        <f aca="false">"-154.6"</f>
        <v>-154.6</v>
      </c>
    </row>
    <row r="728" customFormat="false" ht="12.8" hidden="false" customHeight="false" outlineLevel="0" collapsed="false">
      <c r="A728" s="0" t="s">
        <v>8</v>
      </c>
      <c r="B728" s="0" t="s">
        <v>9</v>
      </c>
      <c r="C728" s="0" t="str">
        <f aca="false">"132-143"</f>
        <v>132-143</v>
      </c>
      <c r="D728" s="0" t="s">
        <v>9</v>
      </c>
      <c r="E728" s="0" t="str">
        <f aca="false">"235-246"</f>
        <v>235-246</v>
      </c>
      <c r="F728" s="0" t="s">
        <v>751</v>
      </c>
      <c r="G728" s="0" t="s">
        <v>9</v>
      </c>
      <c r="H728" s="0" t="str">
        <f aca="false">"276-287"</f>
        <v>276-287</v>
      </c>
      <c r="I728" s="0" t="s">
        <v>9</v>
      </c>
      <c r="J728" s="0" t="str">
        <f aca="false">"260-271"</f>
        <v>260-271</v>
      </c>
      <c r="K728" s="0" t="str">
        <f aca="false">"1.16"</f>
        <v>1.16</v>
      </c>
      <c r="L728" s="0" t="str">
        <f aca="false">"11.22"</f>
        <v>11.22</v>
      </c>
      <c r="M728" s="0" t="str">
        <f aca="false">"-136.9"</f>
        <v>-136.9</v>
      </c>
    </row>
    <row r="729" customFormat="false" ht="12.8" hidden="false" customHeight="false" outlineLevel="0" collapsed="false">
      <c r="A729" s="0" t="s">
        <v>8</v>
      </c>
      <c r="B729" s="0" t="s">
        <v>9</v>
      </c>
      <c r="C729" s="0" t="str">
        <f aca="false">"135-146"</f>
        <v>135-146</v>
      </c>
      <c r="D729" s="0" t="s">
        <v>9</v>
      </c>
      <c r="E729" s="0" t="str">
        <f aca="false">"230-241"</f>
        <v>230-241</v>
      </c>
      <c r="F729" s="0" t="s">
        <v>752</v>
      </c>
      <c r="G729" s="0" t="s">
        <v>9</v>
      </c>
      <c r="H729" s="0" t="str">
        <f aca="false">"5-16"</f>
        <v>5-16</v>
      </c>
      <c r="I729" s="0" t="s">
        <v>13</v>
      </c>
      <c r="J729" s="0" t="str">
        <f aca="false">"5-16"</f>
        <v>5-16</v>
      </c>
      <c r="K729" s="0" t="str">
        <f aca="false">"1.01"</f>
        <v>1.01</v>
      </c>
      <c r="L729" s="0" t="str">
        <f aca="false">"9.44"</f>
        <v>9.44</v>
      </c>
      <c r="M729" s="0" t="str">
        <f aca="false">"-144.3"</f>
        <v>-144.3</v>
      </c>
    </row>
    <row r="730" customFormat="false" ht="12.8" hidden="false" customHeight="false" outlineLevel="0" collapsed="false">
      <c r="A730" s="0" t="s">
        <v>8</v>
      </c>
      <c r="B730" s="0" t="s">
        <v>9</v>
      </c>
      <c r="C730" s="0" t="str">
        <f aca="false">"132-143"</f>
        <v>132-143</v>
      </c>
      <c r="D730" s="0" t="s">
        <v>9</v>
      </c>
      <c r="E730" s="0" t="str">
        <f aca="false">"226-237"</f>
        <v>226-237</v>
      </c>
      <c r="F730" s="0" t="s">
        <v>753</v>
      </c>
      <c r="G730" s="0" t="s">
        <v>9</v>
      </c>
      <c r="H730" s="0" t="str">
        <f aca="false">"351-362"</f>
        <v>351-362</v>
      </c>
      <c r="I730" s="0" t="s">
        <v>9</v>
      </c>
      <c r="J730" s="0" t="str">
        <f aca="false">"374-385"</f>
        <v>374-385</v>
      </c>
      <c r="K730" s="0" t="str">
        <f aca="false">"1.10"</f>
        <v>1.10</v>
      </c>
      <c r="L730" s="0" t="str">
        <f aca="false">"12.71"</f>
        <v>12.71</v>
      </c>
      <c r="M730" s="0" t="str">
        <f aca="false">"-136.6"</f>
        <v>-136.6</v>
      </c>
    </row>
    <row r="731" customFormat="false" ht="12.8" hidden="false" customHeight="false" outlineLevel="0" collapsed="false">
      <c r="A731" s="0" t="s">
        <v>8</v>
      </c>
      <c r="B731" s="0" t="s">
        <v>9</v>
      </c>
      <c r="C731" s="0" t="str">
        <f aca="false">"132-143"</f>
        <v>132-143</v>
      </c>
      <c r="D731" s="0" t="s">
        <v>9</v>
      </c>
      <c r="E731" s="0" t="str">
        <f aca="false">"226-237"</f>
        <v>226-237</v>
      </c>
      <c r="F731" s="0" t="s">
        <v>754</v>
      </c>
      <c r="G731" s="0" t="s">
        <v>13</v>
      </c>
      <c r="H731" s="0" t="str">
        <f aca="false">"574-585"</f>
        <v>574-585</v>
      </c>
      <c r="I731" s="0" t="s">
        <v>13</v>
      </c>
      <c r="J731" s="0" t="str">
        <f aca="false">"554-565"</f>
        <v>554-565</v>
      </c>
      <c r="K731" s="0" t="str">
        <f aca="false">"1.04"</f>
        <v>1.04</v>
      </c>
      <c r="L731" s="0" t="str">
        <f aca="false">"11.75"</f>
        <v>11.75</v>
      </c>
      <c r="M731" s="0" t="str">
        <f aca="false">"-142.2"</f>
        <v>-142.2</v>
      </c>
    </row>
    <row r="732" customFormat="false" ht="12.8" hidden="false" customHeight="false" outlineLevel="0" collapsed="false">
      <c r="A732" s="0" t="s">
        <v>8</v>
      </c>
      <c r="B732" s="0" t="s">
        <v>9</v>
      </c>
      <c r="C732" s="0" t="str">
        <f aca="false">"128-139"</f>
        <v>128-139</v>
      </c>
      <c r="D732" s="0" t="s">
        <v>9</v>
      </c>
      <c r="E732" s="0" t="str">
        <f aca="false">"230-241"</f>
        <v>230-241</v>
      </c>
      <c r="F732" s="0" t="s">
        <v>755</v>
      </c>
      <c r="G732" s="0" t="s">
        <v>9</v>
      </c>
      <c r="H732" s="0" t="str">
        <f aca="false">"106-117"</f>
        <v>106-117</v>
      </c>
      <c r="I732" s="0" t="s">
        <v>13</v>
      </c>
      <c r="J732" s="0" t="str">
        <f aca="false">"134-145"</f>
        <v>134-145</v>
      </c>
      <c r="K732" s="0" t="str">
        <f aca="false">"1.24"</f>
        <v>1.24</v>
      </c>
      <c r="L732" s="0" t="str">
        <f aca="false">"10.46"</f>
        <v>10.46</v>
      </c>
      <c r="M732" s="0" t="str">
        <f aca="false">"-142.1"</f>
        <v>-142.1</v>
      </c>
    </row>
    <row r="733" customFormat="false" ht="12.8" hidden="false" customHeight="false" outlineLevel="0" collapsed="false">
      <c r="A733" s="0" t="s">
        <v>8</v>
      </c>
      <c r="B733" s="0" t="s">
        <v>9</v>
      </c>
      <c r="C733" s="0" t="str">
        <f aca="false">"129-140"</f>
        <v>129-140</v>
      </c>
      <c r="D733" s="0" t="s">
        <v>9</v>
      </c>
      <c r="E733" s="0" t="str">
        <f aca="false">"234-245"</f>
        <v>234-245</v>
      </c>
      <c r="F733" s="0" t="s">
        <v>756</v>
      </c>
      <c r="G733" s="0" t="s">
        <v>9</v>
      </c>
      <c r="H733" s="0" t="str">
        <f aca="false">"372-383"</f>
        <v>372-383</v>
      </c>
      <c r="I733" s="0" t="s">
        <v>9</v>
      </c>
      <c r="J733" s="0" t="str">
        <f aca="false">"386-397"</f>
        <v>386-397</v>
      </c>
      <c r="K733" s="0" t="str">
        <f aca="false">"1.23"</f>
        <v>1.23</v>
      </c>
      <c r="L733" s="0" t="str">
        <f aca="false">"10.20"</f>
        <v>10.20</v>
      </c>
      <c r="M733" s="0" t="str">
        <f aca="false">"-155.6"</f>
        <v>-155.6</v>
      </c>
    </row>
    <row r="734" customFormat="false" ht="12.8" hidden="false" customHeight="false" outlineLevel="0" collapsed="false">
      <c r="A734" s="0" t="s">
        <v>8</v>
      </c>
      <c r="B734" s="0" t="s">
        <v>9</v>
      </c>
      <c r="C734" s="0" t="str">
        <f aca="false">"131-142"</f>
        <v>131-142</v>
      </c>
      <c r="D734" s="0" t="s">
        <v>9</v>
      </c>
      <c r="E734" s="0" t="str">
        <f aca="false">"233-244"</f>
        <v>233-244</v>
      </c>
      <c r="F734" s="0" t="s">
        <v>757</v>
      </c>
      <c r="G734" s="0" t="s">
        <v>9</v>
      </c>
      <c r="H734" s="0" t="str">
        <f aca="false">"439-450"</f>
        <v>439-450</v>
      </c>
      <c r="I734" s="0" t="s">
        <v>9</v>
      </c>
      <c r="J734" s="0" t="str">
        <f aca="false">"456-467"</f>
        <v>456-467</v>
      </c>
      <c r="K734" s="0" t="str">
        <f aca="false">"1.08"</f>
        <v>1.08</v>
      </c>
      <c r="L734" s="0" t="str">
        <f aca="false">"9.54"</f>
        <v>9.54</v>
      </c>
      <c r="M734" s="0" t="str">
        <f aca="false">"-154.4"</f>
        <v>-154.4</v>
      </c>
    </row>
    <row r="735" customFormat="false" ht="12.8" hidden="false" customHeight="false" outlineLevel="0" collapsed="false">
      <c r="A735" s="0" t="s">
        <v>8</v>
      </c>
      <c r="B735" s="0" t="s">
        <v>9</v>
      </c>
      <c r="C735" s="0" t="str">
        <f aca="false">"132-143"</f>
        <v>132-143</v>
      </c>
      <c r="D735" s="0" t="s">
        <v>9</v>
      </c>
      <c r="E735" s="0" t="str">
        <f aca="false">"231-242"</f>
        <v>231-242</v>
      </c>
      <c r="F735" s="0" t="s">
        <v>758</v>
      </c>
      <c r="G735" s="0" t="s">
        <v>9</v>
      </c>
      <c r="H735" s="0" t="str">
        <f aca="false">"176-187"</f>
        <v>176-187</v>
      </c>
      <c r="I735" s="0" t="s">
        <v>9</v>
      </c>
      <c r="J735" s="0" t="str">
        <f aca="false">"158-169"</f>
        <v>158-169</v>
      </c>
      <c r="K735" s="0" t="str">
        <f aca="false">"1.21"</f>
        <v>1.21</v>
      </c>
      <c r="L735" s="0" t="str">
        <f aca="false">"10.98"</f>
        <v>10.98</v>
      </c>
      <c r="M735" s="0" t="str">
        <f aca="false">"-146.3"</f>
        <v>-146.3</v>
      </c>
    </row>
    <row r="736" customFormat="false" ht="12.8" hidden="false" customHeight="false" outlineLevel="0" collapsed="false">
      <c r="A736" s="0" t="s">
        <v>8</v>
      </c>
      <c r="B736" s="0" t="s">
        <v>9</v>
      </c>
      <c r="C736" s="0" t="str">
        <f aca="false">"127-138"</f>
        <v>127-138</v>
      </c>
      <c r="D736" s="0" t="s">
        <v>9</v>
      </c>
      <c r="E736" s="0" t="str">
        <f aca="false">"231-242"</f>
        <v>231-242</v>
      </c>
      <c r="F736" s="0" t="s">
        <v>759</v>
      </c>
      <c r="G736" s="0" t="s">
        <v>9</v>
      </c>
      <c r="H736" s="0" t="str">
        <f aca="false">"89-100"</f>
        <v>89-100</v>
      </c>
      <c r="I736" s="0" t="s">
        <v>9</v>
      </c>
      <c r="J736" s="0" t="str">
        <f aca="false">"383-394"</f>
        <v>383-394</v>
      </c>
      <c r="K736" s="0" t="str">
        <f aca="false">"1.14"</f>
        <v>1.14</v>
      </c>
      <c r="L736" s="0" t="str">
        <f aca="false">"10.88"</f>
        <v>10.88</v>
      </c>
      <c r="M736" s="0" t="str">
        <f aca="false">"-161.5"</f>
        <v>-161.5</v>
      </c>
    </row>
    <row r="737" customFormat="false" ht="12.8" hidden="false" customHeight="false" outlineLevel="0" collapsed="false">
      <c r="A737" s="0" t="s">
        <v>8</v>
      </c>
      <c r="B737" s="0" t="s">
        <v>9</v>
      </c>
      <c r="C737" s="0" t="str">
        <f aca="false">"128-139"</f>
        <v>128-139</v>
      </c>
      <c r="D737" s="0" t="s">
        <v>9</v>
      </c>
      <c r="E737" s="0" t="str">
        <f aca="false">"226-237"</f>
        <v>226-237</v>
      </c>
      <c r="F737" s="0" t="s">
        <v>760</v>
      </c>
      <c r="G737" s="0" t="s">
        <v>9</v>
      </c>
      <c r="H737" s="0" t="str">
        <f aca="false">"817-828"</f>
        <v>817-828</v>
      </c>
      <c r="I737" s="0" t="s">
        <v>9</v>
      </c>
      <c r="J737" s="0" t="str">
        <f aca="false">"792-803"</f>
        <v>792-803</v>
      </c>
      <c r="K737" s="0" t="str">
        <f aca="false">"0.75"</f>
        <v>0.75</v>
      </c>
      <c r="L737" s="0" t="str">
        <f aca="false">"15.59"</f>
        <v>15.59</v>
      </c>
      <c r="M737" s="0" t="str">
        <f aca="false">"-163.5"</f>
        <v>-163.5</v>
      </c>
    </row>
    <row r="738" customFormat="false" ht="12.8" hidden="false" customHeight="false" outlineLevel="0" collapsed="false">
      <c r="A738" s="0" t="s">
        <v>8</v>
      </c>
      <c r="B738" s="0" t="s">
        <v>9</v>
      </c>
      <c r="C738" s="0" t="str">
        <f aca="false">"133-144"</f>
        <v>133-144</v>
      </c>
      <c r="D738" s="0" t="s">
        <v>9</v>
      </c>
      <c r="E738" s="0" t="str">
        <f aca="false">"225-236"</f>
        <v>225-236</v>
      </c>
      <c r="F738" s="0" t="s">
        <v>761</v>
      </c>
      <c r="G738" s="0" t="s">
        <v>13</v>
      </c>
      <c r="H738" s="0" t="str">
        <f aca="false">"183-194"</f>
        <v>183-194</v>
      </c>
      <c r="I738" s="0" t="s">
        <v>9</v>
      </c>
      <c r="J738" s="0" t="str">
        <f aca="false">"151-162"</f>
        <v>151-162</v>
      </c>
      <c r="K738" s="0" t="str">
        <f aca="false">"1.16"</f>
        <v>1.16</v>
      </c>
      <c r="L738" s="0" t="str">
        <f aca="false">"10.33"</f>
        <v>10.33</v>
      </c>
      <c r="M738" s="0" t="str">
        <f aca="false">"-153.0"</f>
        <v>-153.0</v>
      </c>
    </row>
    <row r="739" customFormat="false" ht="12.8" hidden="false" customHeight="false" outlineLevel="0" collapsed="false">
      <c r="A739" s="0" t="s">
        <v>8</v>
      </c>
      <c r="B739" s="0" t="s">
        <v>9</v>
      </c>
      <c r="C739" s="0" t="str">
        <f aca="false">"128-139"</f>
        <v>128-139</v>
      </c>
      <c r="D739" s="0" t="s">
        <v>9</v>
      </c>
      <c r="E739" s="0" t="str">
        <f aca="false">"228-239"</f>
        <v>228-239</v>
      </c>
      <c r="F739" s="0" t="s">
        <v>762</v>
      </c>
      <c r="G739" s="0" t="s">
        <v>9</v>
      </c>
      <c r="H739" s="0" t="str">
        <f aca="false">"76-87"</f>
        <v>76-87</v>
      </c>
      <c r="I739" s="0" t="s">
        <v>13</v>
      </c>
      <c r="J739" s="0" t="str">
        <f aca="false">"98-109"</f>
        <v>98-109</v>
      </c>
      <c r="K739" s="0" t="str">
        <f aca="false">"1.19"</f>
        <v>1.19</v>
      </c>
      <c r="L739" s="0" t="str">
        <f aca="false">"14.22"</f>
        <v>14.22</v>
      </c>
      <c r="M739" s="0" t="str">
        <f aca="false">"-160.3"</f>
        <v>-160.3</v>
      </c>
    </row>
    <row r="740" customFormat="false" ht="12.8" hidden="false" customHeight="false" outlineLevel="0" collapsed="false">
      <c r="A740" s="0" t="s">
        <v>8</v>
      </c>
      <c r="B740" s="0" t="s">
        <v>9</v>
      </c>
      <c r="C740" s="0" t="str">
        <f aca="false">"136-147"</f>
        <v>136-147</v>
      </c>
      <c r="D740" s="0" t="s">
        <v>9</v>
      </c>
      <c r="E740" s="0" t="str">
        <f aca="false">"231-242"</f>
        <v>231-242</v>
      </c>
      <c r="F740" s="0" t="s">
        <v>763</v>
      </c>
      <c r="G740" s="0" t="s">
        <v>9</v>
      </c>
      <c r="H740" s="0" t="str">
        <f aca="false">"789-800"</f>
        <v>789-800</v>
      </c>
      <c r="I740" s="0" t="s">
        <v>9</v>
      </c>
      <c r="J740" s="0" t="str">
        <f aca="false">"833-844"</f>
        <v>833-844</v>
      </c>
      <c r="K740" s="0" t="str">
        <f aca="false">"0.77"</f>
        <v>0.77</v>
      </c>
      <c r="L740" s="0" t="str">
        <f aca="false">"11.63"</f>
        <v>11.63</v>
      </c>
      <c r="M740" s="0" t="str">
        <f aca="false">"-169.1"</f>
        <v>-169.1</v>
      </c>
    </row>
    <row r="741" customFormat="false" ht="12.8" hidden="false" customHeight="false" outlineLevel="0" collapsed="false">
      <c r="A741" s="0" t="s">
        <v>8</v>
      </c>
      <c r="B741" s="0" t="s">
        <v>9</v>
      </c>
      <c r="C741" s="0" t="str">
        <f aca="false">"136-147"</f>
        <v>136-147</v>
      </c>
      <c r="D741" s="0" t="s">
        <v>9</v>
      </c>
      <c r="E741" s="0" t="str">
        <f aca="false">"231-242"</f>
        <v>231-242</v>
      </c>
      <c r="F741" s="0" t="s">
        <v>764</v>
      </c>
      <c r="G741" s="0" t="s">
        <v>13</v>
      </c>
      <c r="H741" s="0" t="str">
        <f aca="false">"331-342"</f>
        <v>331-342</v>
      </c>
      <c r="I741" s="0" t="s">
        <v>9</v>
      </c>
      <c r="J741" s="0" t="str">
        <f aca="false">"331-342"</f>
        <v>331-342</v>
      </c>
      <c r="K741" s="0" t="str">
        <f aca="false">"1.19"</f>
        <v>1.19</v>
      </c>
      <c r="L741" s="0" t="str">
        <f aca="false">"11.30"</f>
        <v>11.30</v>
      </c>
      <c r="M741" s="0" t="str">
        <f aca="false">"-178.3"</f>
        <v>-178.3</v>
      </c>
    </row>
    <row r="742" customFormat="false" ht="12.8" hidden="false" customHeight="false" outlineLevel="0" collapsed="false">
      <c r="A742" s="0" t="s">
        <v>8</v>
      </c>
      <c r="B742" s="0" t="s">
        <v>9</v>
      </c>
      <c r="C742" s="0" t="str">
        <f aca="false">"135-146"</f>
        <v>135-146</v>
      </c>
      <c r="D742" s="0" t="s">
        <v>9</v>
      </c>
      <c r="E742" s="0" t="str">
        <f aca="false">"231-242"</f>
        <v>231-242</v>
      </c>
      <c r="F742" s="0" t="s">
        <v>765</v>
      </c>
      <c r="G742" s="0" t="s">
        <v>9</v>
      </c>
      <c r="H742" s="0" t="str">
        <f aca="false">"84-95"</f>
        <v>84-95</v>
      </c>
      <c r="I742" s="0" t="s">
        <v>9</v>
      </c>
      <c r="J742" s="0" t="str">
        <f aca="false">"68-79"</f>
        <v>68-79</v>
      </c>
      <c r="K742" s="0" t="str">
        <f aca="false">"1.13"</f>
        <v>1.13</v>
      </c>
      <c r="L742" s="0" t="str">
        <f aca="false">"9.47"</f>
        <v>9.47</v>
      </c>
      <c r="M742" s="0" t="str">
        <f aca="false">"-167.5"</f>
        <v>-167.5</v>
      </c>
    </row>
    <row r="743" customFormat="false" ht="12.8" hidden="false" customHeight="false" outlineLevel="0" collapsed="false">
      <c r="A743" s="0" t="s">
        <v>8</v>
      </c>
      <c r="B743" s="0" t="s">
        <v>9</v>
      </c>
      <c r="C743" s="0" t="str">
        <f aca="false">"129-140"</f>
        <v>129-140</v>
      </c>
      <c r="D743" s="0" t="s">
        <v>9</v>
      </c>
      <c r="E743" s="0" t="str">
        <f aca="false">"235-246"</f>
        <v>235-246</v>
      </c>
      <c r="F743" s="0" t="s">
        <v>766</v>
      </c>
      <c r="G743" s="0" t="s">
        <v>9</v>
      </c>
      <c r="H743" s="0" t="str">
        <f aca="false">"148-159"</f>
        <v>148-159</v>
      </c>
      <c r="I743" s="0" t="s">
        <v>13</v>
      </c>
      <c r="J743" s="0" t="str">
        <f aca="false">"194-205"</f>
        <v>194-205</v>
      </c>
      <c r="K743" s="0" t="str">
        <f aca="false">"1.25"</f>
        <v>1.25</v>
      </c>
      <c r="L743" s="0" t="str">
        <f aca="false">"10.83"</f>
        <v>10.83</v>
      </c>
      <c r="M743" s="0" t="str">
        <f aca="false">"-167.7"</f>
        <v>-167.7</v>
      </c>
    </row>
    <row r="744" customFormat="false" ht="12.8" hidden="false" customHeight="false" outlineLevel="0" collapsed="false">
      <c r="A744" s="0" t="s">
        <v>8</v>
      </c>
      <c r="B744" s="0" t="s">
        <v>9</v>
      </c>
      <c r="C744" s="0" t="str">
        <f aca="false">"131-142"</f>
        <v>131-142</v>
      </c>
      <c r="D744" s="0" t="s">
        <v>9</v>
      </c>
      <c r="E744" s="0" t="str">
        <f aca="false">"228-239"</f>
        <v>228-239</v>
      </c>
      <c r="F744" s="0" t="s">
        <v>767</v>
      </c>
      <c r="G744" s="0" t="s">
        <v>13</v>
      </c>
      <c r="H744" s="0" t="str">
        <f aca="false">"886-897"</f>
        <v>886-897</v>
      </c>
      <c r="I744" s="0" t="s">
        <v>13</v>
      </c>
      <c r="J744" s="0" t="str">
        <f aca="false">"917-928"</f>
        <v>917-928</v>
      </c>
      <c r="K744" s="0" t="str">
        <f aca="false">"1.15"</f>
        <v>1.15</v>
      </c>
      <c r="L744" s="0" t="str">
        <f aca="false">"11.46"</f>
        <v>11.46</v>
      </c>
      <c r="M744" s="0" t="str">
        <f aca="false">"-161.7"</f>
        <v>-161.7</v>
      </c>
    </row>
    <row r="745" customFormat="false" ht="12.8" hidden="false" customHeight="false" outlineLevel="0" collapsed="false">
      <c r="A745" s="0" t="s">
        <v>8</v>
      </c>
      <c r="B745" s="0" t="s">
        <v>9</v>
      </c>
      <c r="C745" s="0" t="str">
        <f aca="false">"131-142"</f>
        <v>131-142</v>
      </c>
      <c r="D745" s="0" t="s">
        <v>9</v>
      </c>
      <c r="E745" s="0" t="str">
        <f aca="false">"228-239"</f>
        <v>228-239</v>
      </c>
      <c r="F745" s="0" t="s">
        <v>768</v>
      </c>
      <c r="G745" s="0" t="s">
        <v>9</v>
      </c>
      <c r="H745" s="0" t="str">
        <f aca="false">"126-137"</f>
        <v>126-137</v>
      </c>
      <c r="I745" s="0" t="s">
        <v>9</v>
      </c>
      <c r="J745" s="0" t="str">
        <f aca="false">"146-157"</f>
        <v>146-157</v>
      </c>
      <c r="K745" s="0" t="str">
        <f aca="false">"1.23"</f>
        <v>1.23</v>
      </c>
      <c r="L745" s="0" t="str">
        <f aca="false">"11.83"</f>
        <v>11.83</v>
      </c>
      <c r="M745" s="0" t="str">
        <f aca="false">"-144.6"</f>
        <v>-144.6</v>
      </c>
    </row>
    <row r="746" customFormat="false" ht="12.8" hidden="false" customHeight="false" outlineLevel="0" collapsed="false">
      <c r="A746" s="0" t="s">
        <v>8</v>
      </c>
      <c r="B746" s="0" t="s">
        <v>9</v>
      </c>
      <c r="C746" s="0" t="str">
        <f aca="false">"128-139"</f>
        <v>128-139</v>
      </c>
      <c r="D746" s="0" t="s">
        <v>9</v>
      </c>
      <c r="E746" s="0" t="str">
        <f aca="false">"231-242"</f>
        <v>231-242</v>
      </c>
      <c r="F746" s="0" t="s">
        <v>769</v>
      </c>
      <c r="G746" s="0" t="s">
        <v>9</v>
      </c>
      <c r="H746" s="0" t="str">
        <f aca="false">"178-189"</f>
        <v>178-189</v>
      </c>
      <c r="I746" s="0" t="s">
        <v>9</v>
      </c>
      <c r="J746" s="0" t="str">
        <f aca="false">"153-164"</f>
        <v>153-164</v>
      </c>
      <c r="K746" s="0" t="str">
        <f aca="false">"0.67"</f>
        <v>0.67</v>
      </c>
      <c r="L746" s="0" t="str">
        <f aca="false">"10.99"</f>
        <v>10.99</v>
      </c>
      <c r="M746" s="0" t="str">
        <f aca="false">"-154.2"</f>
        <v>-154.2</v>
      </c>
    </row>
    <row r="747" customFormat="false" ht="12.8" hidden="false" customHeight="false" outlineLevel="0" collapsed="false">
      <c r="A747" s="0" t="s">
        <v>8</v>
      </c>
      <c r="B747" s="0" t="s">
        <v>9</v>
      </c>
      <c r="C747" s="0" t="str">
        <f aca="false">"129-140"</f>
        <v>129-140</v>
      </c>
      <c r="D747" s="0" t="s">
        <v>9</v>
      </c>
      <c r="E747" s="0" t="str">
        <f aca="false">"230-241"</f>
        <v>230-241</v>
      </c>
      <c r="F747" s="0" t="s">
        <v>770</v>
      </c>
      <c r="G747" s="0" t="s">
        <v>9</v>
      </c>
      <c r="H747" s="0" t="str">
        <f aca="false">"196-207"</f>
        <v>196-207</v>
      </c>
      <c r="I747" s="0" t="s">
        <v>9</v>
      </c>
      <c r="J747" s="0" t="str">
        <f aca="false">"212-223"</f>
        <v>212-223</v>
      </c>
      <c r="K747" s="0" t="str">
        <f aca="false">"1.02"</f>
        <v>1.02</v>
      </c>
      <c r="L747" s="0" t="str">
        <f aca="false">"11.77"</f>
        <v>11.77</v>
      </c>
      <c r="M747" s="0" t="str">
        <f aca="false">"-149.2"</f>
        <v>-149.2</v>
      </c>
    </row>
    <row r="748" customFormat="false" ht="12.8" hidden="false" customHeight="false" outlineLevel="0" collapsed="false">
      <c r="A748" s="0" t="s">
        <v>8</v>
      </c>
      <c r="B748" s="0" t="s">
        <v>9</v>
      </c>
      <c r="C748" s="0" t="str">
        <f aca="false">"132-143"</f>
        <v>132-143</v>
      </c>
      <c r="D748" s="0" t="s">
        <v>9</v>
      </c>
      <c r="E748" s="0" t="str">
        <f aca="false">"233-244"</f>
        <v>233-244</v>
      </c>
      <c r="F748" s="0" t="s">
        <v>771</v>
      </c>
      <c r="G748" s="0" t="s">
        <v>9</v>
      </c>
      <c r="H748" s="0" t="str">
        <f aca="false">"175-186"</f>
        <v>175-186</v>
      </c>
      <c r="I748" s="0" t="s">
        <v>9</v>
      </c>
      <c r="J748" s="0" t="str">
        <f aca="false">"143-154"</f>
        <v>143-154</v>
      </c>
      <c r="K748" s="0" t="str">
        <f aca="false">"1.22"</f>
        <v>1.22</v>
      </c>
      <c r="L748" s="0" t="str">
        <f aca="false">"9.73"</f>
        <v>9.73</v>
      </c>
      <c r="M748" s="0" t="str">
        <f aca="false">"-144.7"</f>
        <v>-144.7</v>
      </c>
    </row>
    <row r="749" customFormat="false" ht="12.8" hidden="false" customHeight="false" outlineLevel="0" collapsed="false">
      <c r="A749" s="0" t="s">
        <v>8</v>
      </c>
      <c r="B749" s="0" t="s">
        <v>9</v>
      </c>
      <c r="C749" s="0" t="str">
        <f aca="false">"137-148"</f>
        <v>137-148</v>
      </c>
      <c r="D749" s="0" t="s">
        <v>9</v>
      </c>
      <c r="E749" s="0" t="str">
        <f aca="false">"232-243"</f>
        <v>232-243</v>
      </c>
      <c r="F749" s="0" t="s">
        <v>772</v>
      </c>
      <c r="G749" s="0" t="s">
        <v>9</v>
      </c>
      <c r="H749" s="0" t="str">
        <f aca="false">"216-227"</f>
        <v>216-227</v>
      </c>
      <c r="I749" s="0" t="s">
        <v>13</v>
      </c>
      <c r="J749" s="0" t="str">
        <f aca="false">"420-431"</f>
        <v>420-431</v>
      </c>
      <c r="K749" s="0" t="str">
        <f aca="false">"1.21"</f>
        <v>1.21</v>
      </c>
      <c r="L749" s="0" t="str">
        <f aca="false">"14.14"</f>
        <v>14.14</v>
      </c>
      <c r="M749" s="0" t="str">
        <f aca="false">"-170.7"</f>
        <v>-170.7</v>
      </c>
    </row>
    <row r="750" customFormat="false" ht="12.8" hidden="false" customHeight="false" outlineLevel="0" collapsed="false">
      <c r="A750" s="0" t="s">
        <v>8</v>
      </c>
      <c r="B750" s="0" t="s">
        <v>9</v>
      </c>
      <c r="C750" s="0" t="str">
        <f aca="false">"131-142"</f>
        <v>131-142</v>
      </c>
      <c r="D750" s="0" t="s">
        <v>9</v>
      </c>
      <c r="E750" s="0" t="str">
        <f aca="false">"227-238"</f>
        <v>227-238</v>
      </c>
      <c r="F750" s="0" t="s">
        <v>773</v>
      </c>
      <c r="G750" s="0" t="s">
        <v>9</v>
      </c>
      <c r="H750" s="0" t="str">
        <f aca="false">"186-197"</f>
        <v>186-197</v>
      </c>
      <c r="I750" s="0" t="s">
        <v>9</v>
      </c>
      <c r="J750" s="0" t="str">
        <f aca="false">"163-174"</f>
        <v>163-174</v>
      </c>
      <c r="K750" s="0" t="str">
        <f aca="false">"0.92"</f>
        <v>0.92</v>
      </c>
      <c r="L750" s="0" t="str">
        <f aca="false">"12.37"</f>
        <v>12.37</v>
      </c>
      <c r="M750" s="0" t="str">
        <f aca="false">"-147.8"</f>
        <v>-147.8</v>
      </c>
    </row>
    <row r="751" customFormat="false" ht="12.8" hidden="false" customHeight="false" outlineLevel="0" collapsed="false">
      <c r="A751" s="0" t="s">
        <v>8</v>
      </c>
      <c r="B751" s="0" t="s">
        <v>9</v>
      </c>
      <c r="C751" s="0" t="str">
        <f aca="false">"128-139"</f>
        <v>128-139</v>
      </c>
      <c r="D751" s="0" t="s">
        <v>9</v>
      </c>
      <c r="E751" s="0" t="str">
        <f aca="false">"230-241"</f>
        <v>230-241</v>
      </c>
      <c r="F751" s="0" t="s">
        <v>774</v>
      </c>
      <c r="G751" s="0" t="s">
        <v>9</v>
      </c>
      <c r="H751" s="0" t="str">
        <f aca="false">"153-164"</f>
        <v>153-164</v>
      </c>
      <c r="I751" s="0" t="s">
        <v>13</v>
      </c>
      <c r="J751" s="0" t="str">
        <f aca="false">"153-164"</f>
        <v>153-164</v>
      </c>
      <c r="K751" s="0" t="str">
        <f aca="false">"0.81"</f>
        <v>0.81</v>
      </c>
      <c r="L751" s="0" t="str">
        <f aca="false">"12.65"</f>
        <v>12.65</v>
      </c>
      <c r="M751" s="0" t="str">
        <f aca="false">"-148.0"</f>
        <v>-148.0</v>
      </c>
    </row>
    <row r="752" customFormat="false" ht="12.8" hidden="false" customHeight="false" outlineLevel="0" collapsed="false">
      <c r="A752" s="0" t="s">
        <v>8</v>
      </c>
      <c r="B752" s="0" t="s">
        <v>9</v>
      </c>
      <c r="C752" s="0" t="str">
        <f aca="false">"131-142"</f>
        <v>131-142</v>
      </c>
      <c r="D752" s="0" t="s">
        <v>9</v>
      </c>
      <c r="E752" s="0" t="str">
        <f aca="false">"235-246"</f>
        <v>235-246</v>
      </c>
      <c r="F752" s="0" t="s">
        <v>775</v>
      </c>
      <c r="G752" s="0" t="s">
        <v>13</v>
      </c>
      <c r="H752" s="0" t="str">
        <f aca="false">"256-267"</f>
        <v>256-267</v>
      </c>
      <c r="I752" s="0" t="s">
        <v>13</v>
      </c>
      <c r="J752" s="0" t="str">
        <f aca="false">"149-160"</f>
        <v>149-160</v>
      </c>
      <c r="K752" s="0" t="str">
        <f aca="false">"0.90"</f>
        <v>0.90</v>
      </c>
      <c r="L752" s="0" t="str">
        <f aca="false">"11.00"</f>
        <v>11.00</v>
      </c>
      <c r="M752" s="0" t="str">
        <f aca="false">"-164.0"</f>
        <v>-164.0</v>
      </c>
    </row>
    <row r="753" customFormat="false" ht="12.8" hidden="false" customHeight="false" outlineLevel="0" collapsed="false">
      <c r="A753" s="0" t="s">
        <v>8</v>
      </c>
      <c r="B753" s="0" t="s">
        <v>9</v>
      </c>
      <c r="C753" s="0" t="str">
        <f aca="false">"137-148"</f>
        <v>137-148</v>
      </c>
      <c r="D753" s="0" t="s">
        <v>9</v>
      </c>
      <c r="E753" s="0" t="str">
        <f aca="false">"231-242"</f>
        <v>231-242</v>
      </c>
      <c r="F753" s="0" t="s">
        <v>776</v>
      </c>
      <c r="G753" s="0" t="s">
        <v>9</v>
      </c>
      <c r="H753" s="0" t="str">
        <f aca="false">"351-362"</f>
        <v>351-362</v>
      </c>
      <c r="I753" s="0" t="s">
        <v>9</v>
      </c>
      <c r="J753" s="0" t="str">
        <f aca="false">"247-258"</f>
        <v>247-258</v>
      </c>
      <c r="K753" s="0" t="str">
        <f aca="false">"0.68"</f>
        <v>0.68</v>
      </c>
      <c r="L753" s="0" t="str">
        <f aca="false">"12.77"</f>
        <v>12.77</v>
      </c>
      <c r="M753" s="0" t="str">
        <f aca="false">"-159.3"</f>
        <v>-159.3</v>
      </c>
    </row>
    <row r="754" customFormat="false" ht="12.8" hidden="false" customHeight="false" outlineLevel="0" collapsed="false">
      <c r="A754" s="0" t="s">
        <v>8</v>
      </c>
      <c r="B754" s="0" t="s">
        <v>9</v>
      </c>
      <c r="C754" s="0" t="str">
        <f aca="false">"136-147"</f>
        <v>136-147</v>
      </c>
      <c r="D754" s="0" t="s">
        <v>9</v>
      </c>
      <c r="E754" s="0" t="str">
        <f aca="false">"232-243"</f>
        <v>232-243</v>
      </c>
      <c r="F754" s="0" t="s">
        <v>777</v>
      </c>
      <c r="G754" s="0" t="s">
        <v>9</v>
      </c>
      <c r="H754" s="0" t="str">
        <f aca="false">"46-57"</f>
        <v>46-57</v>
      </c>
      <c r="I754" s="0" t="s">
        <v>9</v>
      </c>
      <c r="J754" s="0" t="str">
        <f aca="false">"94-105"</f>
        <v>94-105</v>
      </c>
      <c r="K754" s="0" t="str">
        <f aca="false">"1.18"</f>
        <v>1.18</v>
      </c>
      <c r="L754" s="0" t="str">
        <f aca="false">"12.27"</f>
        <v>12.27</v>
      </c>
      <c r="M754" s="0" t="str">
        <f aca="false">"-166.2"</f>
        <v>-166.2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3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Q25" activeCellId="0" sqref="Q25"/>
    </sheetView>
  </sheetViews>
  <sheetFormatPr defaultRowHeight="14.65"/>
  <cols>
    <col collapsed="false" hidden="false" max="1" min="1" style="0" width="9.92857142857143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5561224489796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41836734693878"/>
    <col collapsed="false" hidden="false" max="1025" min="14" style="0" width="11.6173469387755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  <c r="O1" s="0" t="s">
        <v>15</v>
      </c>
      <c r="P1" s="0" t="s">
        <v>9</v>
      </c>
      <c r="Q1" s="0" t="str">
        <f aca="false">"104-115"</f>
        <v>104-115</v>
      </c>
      <c r="R1" s="0" t="s">
        <v>9</v>
      </c>
      <c r="S1" s="0" t="str">
        <f aca="false">"140-151"</f>
        <v>140-151</v>
      </c>
      <c r="T1" s="0" t="str">
        <f aca="false">"1.11"</f>
        <v>1.11</v>
      </c>
      <c r="U1" s="0" t="str">
        <f aca="false">"9.76"</f>
        <v>9.76</v>
      </c>
      <c r="V1" s="0" t="str">
        <f aca="false">"-168.9"</f>
        <v>-168.9</v>
      </c>
    </row>
    <row r="2" customFormat="false" ht="14.65" hidden="false" customHeight="false" outlineLevel="0" collapsed="false">
      <c r="A2" s="0" t="s">
        <v>2204</v>
      </c>
      <c r="B2" s="0" t="s">
        <v>9</v>
      </c>
      <c r="C2" s="0" t="str">
        <f aca="false">"261-272"</f>
        <v>261-272</v>
      </c>
      <c r="D2" s="0" t="s">
        <v>9</v>
      </c>
      <c r="E2" s="0" t="str">
        <f aca="false">"298-309"</f>
        <v>298-309</v>
      </c>
      <c r="F2" s="0" t="s">
        <v>2205</v>
      </c>
      <c r="G2" s="0" t="s">
        <v>120</v>
      </c>
      <c r="H2" s="0" t="str">
        <f aca="false">"857-868"</f>
        <v>857-868</v>
      </c>
      <c r="I2" s="0" t="s">
        <v>120</v>
      </c>
      <c r="J2" s="0" t="str">
        <f aca="false">"918-929"</f>
        <v>918-929</v>
      </c>
      <c r="K2" s="0" t="str">
        <f aca="false">"1.20"</f>
        <v>1.20</v>
      </c>
      <c r="L2" s="0" t="str">
        <f aca="false">"12.98"</f>
        <v>12.98</v>
      </c>
      <c r="M2" s="0" t="str">
        <f aca="false">"-147.6"</f>
        <v>-147.6</v>
      </c>
      <c r="O2" s="0" t="s">
        <v>1357</v>
      </c>
      <c r="P2" s="0" t="s">
        <v>24</v>
      </c>
      <c r="Q2" s="0" t="str">
        <f aca="false">"128-139"</f>
        <v>128-139</v>
      </c>
      <c r="R2" s="0" t="s">
        <v>24</v>
      </c>
      <c r="S2" s="0" t="str">
        <f aca="false">"165-176"</f>
        <v>165-176</v>
      </c>
      <c r="T2" s="0" t="str">
        <f aca="false">"1.01"</f>
        <v>1.01</v>
      </c>
      <c r="U2" s="0" t="str">
        <f aca="false">"9.77"</f>
        <v>9.77</v>
      </c>
      <c r="V2" s="0" t="str">
        <f aca="false">"175.4"</f>
        <v>175.4</v>
      </c>
    </row>
    <row r="3" customFormat="false" ht="14.65" hidden="false" customHeight="false" outlineLevel="0" collapsed="false">
      <c r="A3" s="0" t="s">
        <v>2204</v>
      </c>
      <c r="B3" s="0" t="s">
        <v>9</v>
      </c>
      <c r="C3" s="0" t="str">
        <f aca="false">"263-274"</f>
        <v>263-274</v>
      </c>
      <c r="D3" s="0" t="s">
        <v>9</v>
      </c>
      <c r="E3" s="0" t="str">
        <f aca="false">"297-308"</f>
        <v>297-308</v>
      </c>
      <c r="F3" s="0" t="s">
        <v>2206</v>
      </c>
      <c r="G3" s="0" t="s">
        <v>9</v>
      </c>
      <c r="H3" s="0" t="str">
        <f aca="false">"201-212"</f>
        <v>201-212</v>
      </c>
      <c r="I3" s="0" t="s">
        <v>9</v>
      </c>
      <c r="J3" s="0" t="str">
        <f aca="false">"90-101"</f>
        <v>90-101</v>
      </c>
      <c r="K3" s="0" t="str">
        <f aca="false">"1.23"</f>
        <v>1.23</v>
      </c>
      <c r="L3" s="0" t="str">
        <f aca="false">"12.99"</f>
        <v>12.99</v>
      </c>
      <c r="M3" s="0" t="str">
        <f aca="false">"-147.9"</f>
        <v>-147.9</v>
      </c>
      <c r="O3" s="0" t="s">
        <v>1508</v>
      </c>
      <c r="P3" s="0" t="s">
        <v>120</v>
      </c>
      <c r="Q3" s="0" t="str">
        <f aca="false">"38-49"</f>
        <v>38-49</v>
      </c>
      <c r="R3" s="0" t="s">
        <v>120</v>
      </c>
      <c r="S3" s="0" t="str">
        <f aca="false">"65-76"</f>
        <v>65-76</v>
      </c>
      <c r="T3" s="0" t="str">
        <f aca="false">"1.07"</f>
        <v>1.07</v>
      </c>
      <c r="U3" s="0" t="str">
        <f aca="false">"9.95"</f>
        <v>9.95</v>
      </c>
      <c r="V3" s="0" t="str">
        <f aca="false">"-171.3"</f>
        <v>-171.3</v>
      </c>
    </row>
    <row r="4" customFormat="false" ht="14.65" hidden="false" customHeight="false" outlineLevel="0" collapsed="false">
      <c r="A4" s="0" t="s">
        <v>2204</v>
      </c>
      <c r="B4" s="0" t="s">
        <v>9</v>
      </c>
      <c r="C4" s="0" t="str">
        <f aca="false">"263-274"</f>
        <v>263-274</v>
      </c>
      <c r="D4" s="0" t="s">
        <v>9</v>
      </c>
      <c r="E4" s="0" t="str">
        <f aca="false">"299-310"</f>
        <v>299-310</v>
      </c>
      <c r="F4" s="0" t="s">
        <v>2207</v>
      </c>
      <c r="G4" s="0" t="s">
        <v>9</v>
      </c>
      <c r="H4" s="0" t="str">
        <f aca="false">"107-118"</f>
        <v>107-118</v>
      </c>
      <c r="I4" s="0" t="s">
        <v>9</v>
      </c>
      <c r="J4" s="0" t="str">
        <f aca="false">"80-91"</f>
        <v>80-91</v>
      </c>
      <c r="K4" s="0" t="str">
        <f aca="false">"1.17"</f>
        <v>1.17</v>
      </c>
      <c r="L4" s="0" t="str">
        <f aca="false">"13.05"</f>
        <v>13.05</v>
      </c>
      <c r="M4" s="0" t="str">
        <f aca="false">"-148.9"</f>
        <v>-148.9</v>
      </c>
      <c r="O4" s="0" t="s">
        <v>1505</v>
      </c>
      <c r="P4" s="0" t="s">
        <v>9</v>
      </c>
      <c r="Q4" s="0" t="str">
        <f aca="false">"184-195"</f>
        <v>184-195</v>
      </c>
      <c r="R4" s="0" t="s">
        <v>9</v>
      </c>
      <c r="S4" s="0" t="str">
        <f aca="false">"94-105"</f>
        <v>94-105</v>
      </c>
      <c r="T4" s="0" t="str">
        <f aca="false">"1.15"</f>
        <v>1.15</v>
      </c>
      <c r="U4" s="0" t="str">
        <f aca="false">"9.99"</f>
        <v>9.99</v>
      </c>
      <c r="V4" s="0" t="str">
        <f aca="false">"-169.5"</f>
        <v>-169.5</v>
      </c>
    </row>
    <row r="5" customFormat="false" ht="14.65" hidden="false" customHeight="false" outlineLevel="0" collapsed="false">
      <c r="A5" s="0" t="s">
        <v>2204</v>
      </c>
      <c r="B5" s="0" t="s">
        <v>9</v>
      </c>
      <c r="C5" s="0" t="str">
        <f aca="false">"262-273"</f>
        <v>262-273</v>
      </c>
      <c r="D5" s="0" t="s">
        <v>9</v>
      </c>
      <c r="E5" s="0" t="str">
        <f aca="false">"299-310"</f>
        <v>299-310</v>
      </c>
      <c r="F5" s="0" t="s">
        <v>2208</v>
      </c>
      <c r="G5" s="0" t="s">
        <v>9</v>
      </c>
      <c r="H5" s="0" t="str">
        <f aca="false">"62-73"</f>
        <v>62-73</v>
      </c>
      <c r="I5" s="0" t="s">
        <v>9</v>
      </c>
      <c r="J5" s="0" t="str">
        <f aca="false">"78-89"</f>
        <v>78-89</v>
      </c>
      <c r="K5" s="0" t="str">
        <f aca="false">"1.04"</f>
        <v>1.04</v>
      </c>
      <c r="L5" s="0" t="str">
        <f aca="false">"12.48"</f>
        <v>12.48</v>
      </c>
      <c r="M5" s="0" t="str">
        <f aca="false">"-149.2"</f>
        <v>-149.2</v>
      </c>
      <c r="O5" s="0" t="s">
        <v>2209</v>
      </c>
      <c r="P5" s="0" t="s">
        <v>9</v>
      </c>
      <c r="Q5" s="0" t="str">
        <f aca="false">"114-125"</f>
        <v>114-125</v>
      </c>
      <c r="R5" s="0" t="s">
        <v>9</v>
      </c>
      <c r="S5" s="0" t="str">
        <f aca="false">"338-349"</f>
        <v>338-349</v>
      </c>
      <c r="T5" s="0" t="str">
        <f aca="false">"1.06"</f>
        <v>1.06</v>
      </c>
      <c r="U5" s="0" t="str">
        <f aca="false">"10.05"</f>
        <v>10.05</v>
      </c>
      <c r="V5" s="0" t="str">
        <f aca="false">"173.9"</f>
        <v>173.9</v>
      </c>
    </row>
    <row r="6" customFormat="false" ht="14.65" hidden="false" customHeight="false" outlineLevel="0" collapsed="false">
      <c r="A6" s="0" t="s">
        <v>2204</v>
      </c>
      <c r="B6" s="0" t="s">
        <v>9</v>
      </c>
      <c r="C6" s="0" t="str">
        <f aca="false">"265-276"</f>
        <v>265-276</v>
      </c>
      <c r="D6" s="0" t="s">
        <v>9</v>
      </c>
      <c r="E6" s="0" t="str">
        <f aca="false">"299-310"</f>
        <v>299-310</v>
      </c>
      <c r="F6" s="0" t="s">
        <v>2210</v>
      </c>
      <c r="G6" s="0" t="s">
        <v>13</v>
      </c>
      <c r="H6" s="0" t="str">
        <f aca="false">"235-246"</f>
        <v>235-246</v>
      </c>
      <c r="I6" s="0" t="s">
        <v>13</v>
      </c>
      <c r="J6" s="0" t="str">
        <f aca="false">"59-70"</f>
        <v>59-70</v>
      </c>
      <c r="K6" s="0" t="str">
        <f aca="false">"1.22"</f>
        <v>1.22</v>
      </c>
      <c r="L6" s="0" t="str">
        <f aca="false">"12.94"</f>
        <v>12.94</v>
      </c>
      <c r="M6" s="0" t="str">
        <f aca="false">"-149.6"</f>
        <v>-149.6</v>
      </c>
      <c r="O6" s="0" t="s">
        <v>2211</v>
      </c>
      <c r="P6" s="0" t="s">
        <v>9</v>
      </c>
      <c r="Q6" s="0" t="str">
        <f aca="false">"70-81"</f>
        <v>70-81</v>
      </c>
      <c r="R6" s="0" t="s">
        <v>9</v>
      </c>
      <c r="S6" s="0" t="str">
        <f aca="false">"168-179"</f>
        <v>168-179</v>
      </c>
      <c r="T6" s="0" t="str">
        <f aca="false">"1.09"</f>
        <v>1.09</v>
      </c>
      <c r="U6" s="0" t="str">
        <f aca="false">"10.48"</f>
        <v>10.48</v>
      </c>
      <c r="V6" s="0" t="str">
        <f aca="false">"-173.6"</f>
        <v>-173.6</v>
      </c>
    </row>
    <row r="7" customFormat="false" ht="14.65" hidden="false" customHeight="false" outlineLevel="0" collapsed="false">
      <c r="A7" s="0" t="s">
        <v>2204</v>
      </c>
      <c r="B7" s="0" t="s">
        <v>9</v>
      </c>
      <c r="C7" s="0" t="str">
        <f aca="false">"263-274"</f>
        <v>263-274</v>
      </c>
      <c r="D7" s="0" t="s">
        <v>9</v>
      </c>
      <c r="E7" s="0" t="str">
        <f aca="false">"299-310"</f>
        <v>299-310</v>
      </c>
      <c r="F7" s="0" t="s">
        <v>2212</v>
      </c>
      <c r="G7" s="0" t="s">
        <v>9</v>
      </c>
      <c r="H7" s="0" t="str">
        <f aca="false">"124-135"</f>
        <v>124-135</v>
      </c>
      <c r="I7" s="0" t="s">
        <v>9</v>
      </c>
      <c r="J7" s="0" t="str">
        <f aca="false">"99-110"</f>
        <v>99-110</v>
      </c>
      <c r="K7" s="0" t="str">
        <f aca="false">"1.12"</f>
        <v>1.12</v>
      </c>
      <c r="L7" s="0" t="str">
        <f aca="false">"12.15"</f>
        <v>12.15</v>
      </c>
      <c r="M7" s="0" t="str">
        <f aca="false">"-151.8"</f>
        <v>-151.8</v>
      </c>
      <c r="O7" s="0" t="s">
        <v>2213</v>
      </c>
      <c r="P7" s="0" t="s">
        <v>9</v>
      </c>
      <c r="Q7" s="0" t="str">
        <f aca="false">"263-274"</f>
        <v>263-274</v>
      </c>
      <c r="R7" s="0" t="s">
        <v>9</v>
      </c>
      <c r="S7" s="0" t="str">
        <f aca="false">"281-292"</f>
        <v>281-292</v>
      </c>
      <c r="T7" s="0" t="str">
        <f aca="false">"1.13"</f>
        <v>1.13</v>
      </c>
      <c r="U7" s="0" t="str">
        <f aca="false">"10.64"</f>
        <v>10.64</v>
      </c>
      <c r="V7" s="0" t="str">
        <f aca="false">"-169.3"</f>
        <v>-169.3</v>
      </c>
    </row>
    <row r="8" customFormat="false" ht="14.65" hidden="false" customHeight="false" outlineLevel="0" collapsed="false">
      <c r="A8" s="0" t="s">
        <v>2204</v>
      </c>
      <c r="B8" s="0" t="s">
        <v>9</v>
      </c>
      <c r="C8" s="0" t="str">
        <f aca="false">"271-282"</f>
        <v>271-282</v>
      </c>
      <c r="D8" s="0" t="s">
        <v>9</v>
      </c>
      <c r="E8" s="0" t="str">
        <f aca="false">"291-302"</f>
        <v>291-302</v>
      </c>
      <c r="F8" s="0" t="s">
        <v>76</v>
      </c>
      <c r="G8" s="0" t="s">
        <v>9</v>
      </c>
      <c r="H8" s="0" t="str">
        <f aca="false">"16-27"</f>
        <v>16-27</v>
      </c>
      <c r="I8" s="0" t="s">
        <v>9</v>
      </c>
      <c r="J8" s="0" t="str">
        <f aca="false">"59-70"</f>
        <v>59-70</v>
      </c>
      <c r="K8" s="0" t="str">
        <f aca="false">"1.18"</f>
        <v>1.18</v>
      </c>
      <c r="L8" s="0" t="str">
        <f aca="false">"10.84"</f>
        <v>10.84</v>
      </c>
      <c r="M8" s="0" t="str">
        <f aca="false">"-152.6"</f>
        <v>-152.6</v>
      </c>
      <c r="O8" s="0" t="s">
        <v>2214</v>
      </c>
      <c r="P8" s="0" t="s">
        <v>13</v>
      </c>
      <c r="Q8" s="0" t="str">
        <f aca="false">"226-237"</f>
        <v>226-237</v>
      </c>
      <c r="R8" s="0" t="s">
        <v>13</v>
      </c>
      <c r="S8" s="0" t="str">
        <f aca="false">"46-57"</f>
        <v>46-57</v>
      </c>
      <c r="T8" s="0" t="str">
        <f aca="false">"1.01"</f>
        <v>1.01</v>
      </c>
      <c r="U8" s="0" t="str">
        <f aca="false">"10.65"</f>
        <v>10.65</v>
      </c>
      <c r="V8" s="0" t="str">
        <f aca="false">"-172.6"</f>
        <v>-172.6</v>
      </c>
    </row>
    <row r="9" customFormat="false" ht="14.65" hidden="false" customHeight="false" outlineLevel="0" collapsed="false">
      <c r="A9" s="0" t="s">
        <v>2204</v>
      </c>
      <c r="B9" s="0" t="s">
        <v>9</v>
      </c>
      <c r="C9" s="0" t="str">
        <f aca="false">"262-273"</f>
        <v>262-273</v>
      </c>
      <c r="D9" s="0" t="s">
        <v>9</v>
      </c>
      <c r="E9" s="0" t="str">
        <f aca="false">"298-309"</f>
        <v>298-309</v>
      </c>
      <c r="F9" s="0" t="s">
        <v>2215</v>
      </c>
      <c r="G9" s="0" t="s">
        <v>9</v>
      </c>
      <c r="H9" s="0" t="str">
        <f aca="false">"65-76"</f>
        <v>65-76</v>
      </c>
      <c r="I9" s="0" t="s">
        <v>9</v>
      </c>
      <c r="J9" s="0" t="str">
        <f aca="false">"83-94"</f>
        <v>83-94</v>
      </c>
      <c r="K9" s="0" t="str">
        <f aca="false">"1.00"</f>
        <v>1.00</v>
      </c>
      <c r="L9" s="0" t="str">
        <f aca="false">"13.09"</f>
        <v>13.09</v>
      </c>
      <c r="M9" s="0" t="str">
        <f aca="false">"-153.4"</f>
        <v>-153.4</v>
      </c>
      <c r="O9" s="0" t="s">
        <v>2216</v>
      </c>
      <c r="P9" s="0" t="s">
        <v>120</v>
      </c>
      <c r="Q9" s="0" t="str">
        <f aca="false">"620-631"</f>
        <v>620-631</v>
      </c>
      <c r="R9" s="0" t="s">
        <v>120</v>
      </c>
      <c r="S9" s="0" t="str">
        <f aca="false">"561-572"</f>
        <v>561-572</v>
      </c>
      <c r="T9" s="0" t="str">
        <f aca="false">"1.02"</f>
        <v>1.02</v>
      </c>
      <c r="U9" s="0" t="str">
        <f aca="false">"10.66"</f>
        <v>10.66</v>
      </c>
      <c r="V9" s="0" t="str">
        <f aca="false">"-171.8"</f>
        <v>-171.8</v>
      </c>
    </row>
    <row r="10" customFormat="false" ht="14.65" hidden="false" customHeight="false" outlineLevel="0" collapsed="false">
      <c r="A10" s="0" t="s">
        <v>2204</v>
      </c>
      <c r="B10" s="0" t="s">
        <v>9</v>
      </c>
      <c r="C10" s="0" t="str">
        <f aca="false">"267-278"</f>
        <v>267-278</v>
      </c>
      <c r="D10" s="0" t="s">
        <v>9</v>
      </c>
      <c r="E10" s="0" t="str">
        <f aca="false">"296-307"</f>
        <v>296-307</v>
      </c>
      <c r="F10" s="0" t="s">
        <v>2217</v>
      </c>
      <c r="G10" s="0" t="s">
        <v>13</v>
      </c>
      <c r="H10" s="0" t="str">
        <f aca="false">"937-948"</f>
        <v>937-948</v>
      </c>
      <c r="I10" s="0" t="s">
        <v>13</v>
      </c>
      <c r="J10" s="0" t="str">
        <f aca="false">"924-935"</f>
        <v>924-935</v>
      </c>
      <c r="K10" s="0" t="str">
        <f aca="false">"1.22"</f>
        <v>1.22</v>
      </c>
      <c r="L10" s="0" t="str">
        <f aca="false">"12.12"</f>
        <v>12.12</v>
      </c>
      <c r="M10" s="0" t="str">
        <f aca="false">"-153.5"</f>
        <v>-153.5</v>
      </c>
      <c r="O10" s="0" t="s">
        <v>498</v>
      </c>
      <c r="P10" s="0" t="s">
        <v>13</v>
      </c>
      <c r="Q10" s="0" t="str">
        <f aca="false">"147-158"</f>
        <v>147-158</v>
      </c>
      <c r="R10" s="0" t="s">
        <v>13</v>
      </c>
      <c r="S10" s="0" t="str">
        <f aca="false">"231-242"</f>
        <v>231-242</v>
      </c>
      <c r="T10" s="0" t="str">
        <f aca="false">"1.17"</f>
        <v>1.17</v>
      </c>
      <c r="U10" s="0" t="str">
        <f aca="false">"10.66"</f>
        <v>10.66</v>
      </c>
      <c r="V10" s="0" t="str">
        <f aca="false">"172.5"</f>
        <v>172.5</v>
      </c>
    </row>
    <row r="11" customFormat="false" ht="14.65" hidden="false" customHeight="false" outlineLevel="0" collapsed="false">
      <c r="A11" s="0" t="s">
        <v>2204</v>
      </c>
      <c r="B11" s="0" t="s">
        <v>9</v>
      </c>
      <c r="C11" s="0" t="str">
        <f aca="false">"263-274"</f>
        <v>263-274</v>
      </c>
      <c r="D11" s="0" t="s">
        <v>9</v>
      </c>
      <c r="E11" s="0" t="str">
        <f aca="false">"299-310"</f>
        <v>299-310</v>
      </c>
      <c r="F11" s="0" t="s">
        <v>2218</v>
      </c>
      <c r="G11" s="0" t="s">
        <v>9</v>
      </c>
      <c r="H11" s="0" t="str">
        <f aca="false">"61-72"</f>
        <v>61-72</v>
      </c>
      <c r="I11" s="0" t="s">
        <v>9</v>
      </c>
      <c r="J11" s="0" t="str">
        <f aca="false">"76-87"</f>
        <v>76-87</v>
      </c>
      <c r="K11" s="0" t="str">
        <f aca="false">"0.96"</f>
        <v>0.96</v>
      </c>
      <c r="L11" s="0" t="str">
        <f aca="false">"11.89"</f>
        <v>11.89</v>
      </c>
      <c r="M11" s="0" t="str">
        <f aca="false">"-154.4"</f>
        <v>-154.4</v>
      </c>
      <c r="O11" s="0" t="s">
        <v>2219</v>
      </c>
      <c r="P11" s="0" t="s">
        <v>13</v>
      </c>
      <c r="Q11" s="0" t="str">
        <f aca="false">"504-515"</f>
        <v>504-515</v>
      </c>
      <c r="R11" s="0" t="s">
        <v>13</v>
      </c>
      <c r="S11" s="0" t="str">
        <f aca="false">"117-128"</f>
        <v>117-128</v>
      </c>
      <c r="T11" s="0" t="str">
        <f aca="false">"1.13"</f>
        <v>1.13</v>
      </c>
      <c r="U11" s="0" t="str">
        <f aca="false">"10.69"</f>
        <v>10.69</v>
      </c>
      <c r="V11" s="0" t="str">
        <f aca="false">"-175.0"</f>
        <v>-175.0</v>
      </c>
    </row>
    <row r="12" customFormat="false" ht="14.65" hidden="false" customHeight="false" outlineLevel="0" collapsed="false">
      <c r="A12" s="0" t="s">
        <v>2204</v>
      </c>
      <c r="B12" s="0" t="s">
        <v>9</v>
      </c>
      <c r="C12" s="0" t="str">
        <f aca="false">"271-282"</f>
        <v>271-282</v>
      </c>
      <c r="D12" s="0" t="s">
        <v>9</v>
      </c>
      <c r="E12" s="0" t="str">
        <f aca="false">"291-302"</f>
        <v>291-302</v>
      </c>
      <c r="F12" s="0" t="s">
        <v>2220</v>
      </c>
      <c r="G12" s="0" t="s">
        <v>9</v>
      </c>
      <c r="H12" s="0" t="str">
        <f aca="false">"42-53"</f>
        <v>42-53</v>
      </c>
      <c r="I12" s="0" t="s">
        <v>9</v>
      </c>
      <c r="J12" s="0" t="str">
        <f aca="false">"123-134"</f>
        <v>123-134</v>
      </c>
      <c r="K12" s="0" t="str">
        <f aca="false">"1.24"</f>
        <v>1.24</v>
      </c>
      <c r="L12" s="0" t="str">
        <f aca="false">"9.80"</f>
        <v>9.80</v>
      </c>
      <c r="M12" s="0" t="str">
        <f aca="false">"-154.6"</f>
        <v>-154.6</v>
      </c>
      <c r="O12" s="0" t="s">
        <v>554</v>
      </c>
      <c r="P12" s="0" t="s">
        <v>9</v>
      </c>
      <c r="Q12" s="0" t="str">
        <f aca="false">"24-35"</f>
        <v>24-35</v>
      </c>
      <c r="R12" s="0" t="s">
        <v>9</v>
      </c>
      <c r="S12" s="0" t="str">
        <f aca="false">"119-130"</f>
        <v>119-130</v>
      </c>
      <c r="T12" s="0" t="str">
        <f aca="false">"0.73"</f>
        <v>0.73</v>
      </c>
      <c r="U12" s="0" t="str">
        <f aca="false">"10.74"</f>
        <v>10.74</v>
      </c>
      <c r="V12" s="0" t="str">
        <f aca="false">"-170.6"</f>
        <v>-170.6</v>
      </c>
    </row>
    <row r="13" customFormat="false" ht="14.65" hidden="false" customHeight="false" outlineLevel="0" collapsed="false">
      <c r="A13" s="0" t="s">
        <v>2204</v>
      </c>
      <c r="B13" s="0" t="s">
        <v>9</v>
      </c>
      <c r="C13" s="0" t="str">
        <f aca="false">"267-278"</f>
        <v>267-278</v>
      </c>
      <c r="D13" s="0" t="s">
        <v>9</v>
      </c>
      <c r="E13" s="0" t="str">
        <f aca="false">"295-306"</f>
        <v>295-306</v>
      </c>
      <c r="F13" s="0" t="s">
        <v>2221</v>
      </c>
      <c r="G13" s="0" t="s">
        <v>9</v>
      </c>
      <c r="H13" s="0" t="str">
        <f aca="false">"88-99"</f>
        <v>88-99</v>
      </c>
      <c r="I13" s="0" t="s">
        <v>9</v>
      </c>
      <c r="J13" s="0" t="str">
        <f aca="false">"319-330"</f>
        <v>319-330</v>
      </c>
      <c r="K13" s="0" t="str">
        <f aca="false">"1.22"</f>
        <v>1.22</v>
      </c>
      <c r="L13" s="0" t="str">
        <f aca="false">"11.06"</f>
        <v>11.06</v>
      </c>
      <c r="M13" s="0" t="str">
        <f aca="false">"-154.8"</f>
        <v>-154.8</v>
      </c>
      <c r="O13" s="0" t="s">
        <v>1701</v>
      </c>
      <c r="P13" s="0" t="s">
        <v>9</v>
      </c>
      <c r="Q13" s="0" t="str">
        <f aca="false">"277-288"</f>
        <v>277-288</v>
      </c>
      <c r="R13" s="0" t="s">
        <v>9</v>
      </c>
      <c r="S13" s="0" t="str">
        <f aca="false">"356-367"</f>
        <v>356-367</v>
      </c>
      <c r="T13" s="0" t="str">
        <f aca="false">"1.11"</f>
        <v>1.11</v>
      </c>
      <c r="U13" s="0" t="str">
        <f aca="false">"10.74"</f>
        <v>10.74</v>
      </c>
      <c r="V13" s="0" t="str">
        <f aca="false">"-172.1"</f>
        <v>-172.1</v>
      </c>
    </row>
    <row r="14" customFormat="false" ht="14.65" hidden="false" customHeight="false" outlineLevel="0" collapsed="false">
      <c r="A14" s="0" t="s">
        <v>2204</v>
      </c>
      <c r="B14" s="0" t="s">
        <v>9</v>
      </c>
      <c r="C14" s="0" t="str">
        <f aca="false">"270-281"</f>
        <v>270-281</v>
      </c>
      <c r="D14" s="0" t="s">
        <v>9</v>
      </c>
      <c r="E14" s="0" t="str">
        <f aca="false">"290-301"</f>
        <v>290-301</v>
      </c>
      <c r="F14" s="0" t="s">
        <v>2222</v>
      </c>
      <c r="G14" s="0" t="s">
        <v>9</v>
      </c>
      <c r="H14" s="0" t="str">
        <f aca="false">"91-102"</f>
        <v>91-102</v>
      </c>
      <c r="I14" s="0" t="s">
        <v>9</v>
      </c>
      <c r="J14" s="0" t="str">
        <f aca="false">"63-74"</f>
        <v>63-74</v>
      </c>
      <c r="K14" s="0" t="str">
        <f aca="false">"1.11"</f>
        <v>1.11</v>
      </c>
      <c r="L14" s="0" t="str">
        <f aca="false">"11.65"</f>
        <v>11.65</v>
      </c>
      <c r="M14" s="0" t="str">
        <f aca="false">"-154.9"</f>
        <v>-154.9</v>
      </c>
      <c r="O14" s="0" t="s">
        <v>2223</v>
      </c>
      <c r="P14" s="0" t="s">
        <v>9</v>
      </c>
      <c r="Q14" s="0" t="str">
        <f aca="false">"219-230"</f>
        <v>219-230</v>
      </c>
      <c r="R14" s="0" t="s">
        <v>9</v>
      </c>
      <c r="S14" s="0" t="str">
        <f aca="false">"163-174"</f>
        <v>163-174</v>
      </c>
      <c r="T14" s="0" t="str">
        <f aca="false">"1.19"</f>
        <v>1.19</v>
      </c>
      <c r="U14" s="0" t="str">
        <f aca="false">"10.79"</f>
        <v>10.79</v>
      </c>
      <c r="V14" s="0" t="str">
        <f aca="false">"-170.3"</f>
        <v>-170.3</v>
      </c>
    </row>
    <row r="15" customFormat="false" ht="14.65" hidden="false" customHeight="false" outlineLevel="0" collapsed="false">
      <c r="A15" s="0" t="s">
        <v>2204</v>
      </c>
      <c r="B15" s="0" t="s">
        <v>9</v>
      </c>
      <c r="C15" s="0" t="str">
        <f aca="false">"271-282"</f>
        <v>271-282</v>
      </c>
      <c r="D15" s="0" t="s">
        <v>9</v>
      </c>
      <c r="E15" s="0" t="str">
        <f aca="false">"291-302"</f>
        <v>291-302</v>
      </c>
      <c r="F15" s="0" t="s">
        <v>2224</v>
      </c>
      <c r="G15" s="0" t="s">
        <v>9</v>
      </c>
      <c r="H15" s="0" t="str">
        <f aca="false">"97-108"</f>
        <v>97-108</v>
      </c>
      <c r="I15" s="0" t="s">
        <v>9</v>
      </c>
      <c r="J15" s="0" t="str">
        <f aca="false">"123-134"</f>
        <v>123-134</v>
      </c>
      <c r="K15" s="0" t="str">
        <f aca="false">"1.25"</f>
        <v>1.25</v>
      </c>
      <c r="L15" s="0" t="str">
        <f aca="false">"12.23"</f>
        <v>12.23</v>
      </c>
      <c r="M15" s="0" t="str">
        <f aca="false">"-155.0"</f>
        <v>-155.0</v>
      </c>
      <c r="O15" s="0" t="s">
        <v>2225</v>
      </c>
      <c r="P15" s="0" t="s">
        <v>13</v>
      </c>
      <c r="Q15" s="0" t="str">
        <f aca="false">"226-237"</f>
        <v>226-237</v>
      </c>
      <c r="R15" s="0" t="s">
        <v>13</v>
      </c>
      <c r="S15" s="0" t="str">
        <f aca="false">"210-221"</f>
        <v>210-221</v>
      </c>
      <c r="T15" s="0" t="str">
        <f aca="false">"0.97"</f>
        <v>0.97</v>
      </c>
      <c r="U15" s="0" t="str">
        <f aca="false">"10.88"</f>
        <v>10.88</v>
      </c>
      <c r="V15" s="0" t="str">
        <f aca="false">"174.6"</f>
        <v>174.6</v>
      </c>
    </row>
    <row r="16" customFormat="false" ht="14.65" hidden="false" customHeight="false" outlineLevel="0" collapsed="false">
      <c r="A16" s="0" t="s">
        <v>2204</v>
      </c>
      <c r="B16" s="0" t="s">
        <v>9</v>
      </c>
      <c r="C16" s="0" t="str">
        <f aca="false">"262-273"</f>
        <v>262-273</v>
      </c>
      <c r="D16" s="0" t="s">
        <v>9</v>
      </c>
      <c r="E16" s="0" t="str">
        <f aca="false">"296-307"</f>
        <v>296-307</v>
      </c>
      <c r="F16" s="0" t="s">
        <v>2226</v>
      </c>
      <c r="G16" s="0" t="s">
        <v>9</v>
      </c>
      <c r="H16" s="0" t="str">
        <f aca="false">"73-84"</f>
        <v>73-84</v>
      </c>
      <c r="I16" s="0" t="s">
        <v>9</v>
      </c>
      <c r="J16" s="0" t="str">
        <f aca="false">"89-100"</f>
        <v>89-100</v>
      </c>
      <c r="K16" s="0" t="str">
        <f aca="false">"1.06"</f>
        <v>1.06</v>
      </c>
      <c r="L16" s="0" t="str">
        <f aca="false">"12.95"</f>
        <v>12.95</v>
      </c>
      <c r="M16" s="0" t="str">
        <f aca="false">"-155.5"</f>
        <v>-155.5</v>
      </c>
      <c r="O16" s="0" t="s">
        <v>2227</v>
      </c>
      <c r="P16" s="0" t="s">
        <v>9</v>
      </c>
      <c r="Q16" s="0" t="str">
        <f aca="false">"243-254"</f>
        <v>243-254</v>
      </c>
      <c r="R16" s="0" t="s">
        <v>9</v>
      </c>
      <c r="S16" s="0" t="str">
        <f aca="false">"156-167"</f>
        <v>156-167</v>
      </c>
      <c r="T16" s="0" t="str">
        <f aca="false">"1.23"</f>
        <v>1.23</v>
      </c>
      <c r="U16" s="0" t="str">
        <f aca="false">"10.93"</f>
        <v>10.93</v>
      </c>
      <c r="V16" s="0" t="str">
        <f aca="false">"-176.4"</f>
        <v>-176.4</v>
      </c>
    </row>
    <row r="17" customFormat="false" ht="14.65" hidden="false" customHeight="false" outlineLevel="0" collapsed="false">
      <c r="A17" s="0" t="s">
        <v>2204</v>
      </c>
      <c r="B17" s="0" t="s">
        <v>9</v>
      </c>
      <c r="C17" s="0" t="str">
        <f aca="false">"263-274"</f>
        <v>263-274</v>
      </c>
      <c r="D17" s="0" t="s">
        <v>9</v>
      </c>
      <c r="E17" s="0" t="str">
        <f aca="false">"295-306"</f>
        <v>295-306</v>
      </c>
      <c r="F17" s="0" t="s">
        <v>2228</v>
      </c>
      <c r="G17" s="0" t="s">
        <v>9</v>
      </c>
      <c r="H17" s="0" t="str">
        <f aca="false">"165-176"</f>
        <v>165-176</v>
      </c>
      <c r="I17" s="0" t="s">
        <v>9</v>
      </c>
      <c r="J17" s="0" t="str">
        <f aca="false">"37-48"</f>
        <v>37-48</v>
      </c>
      <c r="K17" s="0" t="str">
        <f aca="false">"0.82"</f>
        <v>0.82</v>
      </c>
      <c r="L17" s="0" t="str">
        <f aca="false">"13.78"</f>
        <v>13.78</v>
      </c>
      <c r="M17" s="0" t="str">
        <f aca="false">"-155.6"</f>
        <v>-155.6</v>
      </c>
      <c r="O17" s="0" t="s">
        <v>2229</v>
      </c>
      <c r="P17" s="0" t="s">
        <v>13</v>
      </c>
      <c r="Q17" s="0" t="str">
        <f aca="false">"93-104"</f>
        <v>93-104</v>
      </c>
      <c r="R17" s="0" t="s">
        <v>13</v>
      </c>
      <c r="S17" s="0" t="str">
        <f aca="false">"248-259"</f>
        <v>248-259</v>
      </c>
      <c r="T17" s="0" t="str">
        <f aca="false">"1.06"</f>
        <v>1.06</v>
      </c>
      <c r="U17" s="0" t="str">
        <f aca="false">"10.93"</f>
        <v>10.93</v>
      </c>
      <c r="V17" s="0" t="str">
        <f aca="false">"-178.1"</f>
        <v>-178.1</v>
      </c>
    </row>
    <row r="18" customFormat="false" ht="14.65" hidden="false" customHeight="false" outlineLevel="0" collapsed="false">
      <c r="A18" s="0" t="s">
        <v>2204</v>
      </c>
      <c r="B18" s="0" t="s">
        <v>9</v>
      </c>
      <c r="C18" s="0" t="str">
        <f aca="false">"265-276"</f>
        <v>265-276</v>
      </c>
      <c r="D18" s="0" t="s">
        <v>9</v>
      </c>
      <c r="E18" s="0" t="str">
        <f aca="false">"296-307"</f>
        <v>296-307</v>
      </c>
      <c r="F18" s="0" t="s">
        <v>2230</v>
      </c>
      <c r="G18" s="0" t="s">
        <v>9</v>
      </c>
      <c r="H18" s="0" t="str">
        <f aca="false">"409-420"</f>
        <v>409-420</v>
      </c>
      <c r="I18" s="0" t="s">
        <v>9</v>
      </c>
      <c r="J18" s="0" t="str">
        <f aca="false">"426-437"</f>
        <v>426-437</v>
      </c>
      <c r="K18" s="0" t="str">
        <f aca="false">"1.22"</f>
        <v>1.22</v>
      </c>
      <c r="L18" s="0" t="str">
        <f aca="false">"12.84"</f>
        <v>12.84</v>
      </c>
      <c r="M18" s="0" t="str">
        <f aca="false">"-155.7"</f>
        <v>-155.7</v>
      </c>
      <c r="O18" s="0" t="s">
        <v>2231</v>
      </c>
      <c r="P18" s="0" t="s">
        <v>9</v>
      </c>
      <c r="Q18" s="0" t="str">
        <f aca="false">"301-312"</f>
        <v>301-312</v>
      </c>
      <c r="R18" s="0" t="s">
        <v>9</v>
      </c>
      <c r="S18" s="0" t="str">
        <f aca="false">"281-292"</f>
        <v>281-292</v>
      </c>
      <c r="T18" s="0" t="str">
        <f aca="false">"0.91"</f>
        <v>0.91</v>
      </c>
      <c r="U18" s="0" t="str">
        <f aca="false">"10.95"</f>
        <v>10.95</v>
      </c>
      <c r="V18" s="0" t="str">
        <f aca="false">"169.6"</f>
        <v>169.6</v>
      </c>
    </row>
    <row r="19" customFormat="false" ht="14.65" hidden="false" customHeight="false" outlineLevel="0" collapsed="false">
      <c r="A19" s="0" t="s">
        <v>2204</v>
      </c>
      <c r="B19" s="0" t="s">
        <v>9</v>
      </c>
      <c r="C19" s="0" t="str">
        <f aca="false">"271-282"</f>
        <v>271-282</v>
      </c>
      <c r="D19" s="0" t="s">
        <v>9</v>
      </c>
      <c r="E19" s="0" t="str">
        <f aca="false">"291-302"</f>
        <v>291-302</v>
      </c>
      <c r="F19" s="0" t="s">
        <v>2232</v>
      </c>
      <c r="G19" s="0" t="s">
        <v>9</v>
      </c>
      <c r="H19" s="0" t="str">
        <f aca="false">"95-106"</f>
        <v>95-106</v>
      </c>
      <c r="I19" s="0" t="s">
        <v>9</v>
      </c>
      <c r="J19" s="0" t="str">
        <f aca="false">"67-78"</f>
        <v>67-78</v>
      </c>
      <c r="K19" s="0" t="str">
        <f aca="false">"1.20"</f>
        <v>1.20</v>
      </c>
      <c r="L19" s="0" t="str">
        <f aca="false">"12.20"</f>
        <v>12.20</v>
      </c>
      <c r="M19" s="0" t="str">
        <f aca="false">"-155.8"</f>
        <v>-155.8</v>
      </c>
      <c r="O19" s="0" t="s">
        <v>2233</v>
      </c>
      <c r="P19" s="0" t="s">
        <v>13</v>
      </c>
      <c r="Q19" s="0" t="str">
        <f aca="false">"87-98"</f>
        <v>87-98</v>
      </c>
      <c r="R19" s="0" t="s">
        <v>13</v>
      </c>
      <c r="S19" s="0" t="str">
        <f aca="false">"7-18"</f>
        <v>7-18</v>
      </c>
      <c r="T19" s="0" t="str">
        <f aca="false">"0.72"</f>
        <v>0.72</v>
      </c>
      <c r="U19" s="0" t="str">
        <f aca="false">"10.95"</f>
        <v>10.95</v>
      </c>
      <c r="V19" s="0" t="str">
        <f aca="false">"172.0"</f>
        <v>172.0</v>
      </c>
    </row>
    <row r="20" customFormat="false" ht="14.65" hidden="false" customHeight="false" outlineLevel="0" collapsed="false">
      <c r="A20" s="0" t="s">
        <v>2204</v>
      </c>
      <c r="B20" s="0" t="s">
        <v>9</v>
      </c>
      <c r="C20" s="0" t="str">
        <f aca="false">"271-282"</f>
        <v>271-282</v>
      </c>
      <c r="D20" s="0" t="s">
        <v>9</v>
      </c>
      <c r="E20" s="0" t="str">
        <f aca="false">"291-302"</f>
        <v>291-302</v>
      </c>
      <c r="F20" s="0" t="s">
        <v>2234</v>
      </c>
      <c r="G20" s="0" t="s">
        <v>9</v>
      </c>
      <c r="H20" s="0" t="str">
        <f aca="false">"142-153"</f>
        <v>142-153</v>
      </c>
      <c r="I20" s="0" t="s">
        <v>13</v>
      </c>
      <c r="J20" s="0" t="str">
        <f aca="false">"134-145"</f>
        <v>134-145</v>
      </c>
      <c r="K20" s="0" t="str">
        <f aca="false">"1.24"</f>
        <v>1.24</v>
      </c>
      <c r="L20" s="0" t="str">
        <f aca="false">"11.07"</f>
        <v>11.07</v>
      </c>
      <c r="M20" s="0" t="str">
        <f aca="false">"-156.0"</f>
        <v>-156.0</v>
      </c>
      <c r="O20" s="0" t="s">
        <v>183</v>
      </c>
      <c r="P20" s="0" t="s">
        <v>9</v>
      </c>
      <c r="Q20" s="0" t="str">
        <f aca="false">"36-47"</f>
        <v>36-47</v>
      </c>
      <c r="R20" s="0" t="s">
        <v>13</v>
      </c>
      <c r="S20" s="0" t="str">
        <f aca="false">"21-32"</f>
        <v>21-32</v>
      </c>
      <c r="T20" s="0" t="str">
        <f aca="false">"1.22"</f>
        <v>1.22</v>
      </c>
      <c r="U20" s="0" t="str">
        <f aca="false">"10.98"</f>
        <v>10.98</v>
      </c>
      <c r="V20" s="0" t="str">
        <f aca="false">"-170.8"</f>
        <v>-170.8</v>
      </c>
    </row>
    <row r="21" customFormat="false" ht="14.65" hidden="false" customHeight="false" outlineLevel="0" collapsed="false">
      <c r="A21" s="0" t="s">
        <v>2204</v>
      </c>
      <c r="B21" s="0" t="s">
        <v>9</v>
      </c>
      <c r="C21" s="0" t="str">
        <f aca="false">"266-277"</f>
        <v>266-277</v>
      </c>
      <c r="D21" s="0" t="s">
        <v>9</v>
      </c>
      <c r="E21" s="0" t="str">
        <f aca="false">"296-307"</f>
        <v>296-307</v>
      </c>
      <c r="F21" s="0" t="s">
        <v>2235</v>
      </c>
      <c r="G21" s="0" t="s">
        <v>9</v>
      </c>
      <c r="H21" s="0" t="str">
        <f aca="false">"97-108"</f>
        <v>97-108</v>
      </c>
      <c r="I21" s="0" t="s">
        <v>9</v>
      </c>
      <c r="J21" s="0" t="str">
        <f aca="false">"111-122"</f>
        <v>111-122</v>
      </c>
      <c r="K21" s="0" t="str">
        <f aca="false">"1.11"</f>
        <v>1.11</v>
      </c>
      <c r="L21" s="0" t="str">
        <f aca="false">"10.90"</f>
        <v>10.90</v>
      </c>
      <c r="M21" s="0" t="str">
        <f aca="false">"-156.9"</f>
        <v>-156.9</v>
      </c>
    </row>
    <row r="22" customFormat="false" ht="14.65" hidden="false" customHeight="false" outlineLevel="0" collapsed="false">
      <c r="A22" s="0" t="s">
        <v>2204</v>
      </c>
      <c r="B22" s="0" t="s">
        <v>9</v>
      </c>
      <c r="C22" s="0" t="str">
        <f aca="false">"267-278"</f>
        <v>267-278</v>
      </c>
      <c r="D22" s="0" t="s">
        <v>9</v>
      </c>
      <c r="E22" s="0" t="str">
        <f aca="false">"295-306"</f>
        <v>295-306</v>
      </c>
      <c r="F22" s="0" t="s">
        <v>2236</v>
      </c>
      <c r="G22" s="0" t="s">
        <v>9</v>
      </c>
      <c r="H22" s="0" t="str">
        <f aca="false">"113-124"</f>
        <v>113-124</v>
      </c>
      <c r="I22" s="0" t="s">
        <v>9</v>
      </c>
      <c r="J22" s="0" t="str">
        <f aca="false">"92-103"</f>
        <v>92-103</v>
      </c>
      <c r="K22" s="0" t="str">
        <f aca="false">"1.09"</f>
        <v>1.09</v>
      </c>
      <c r="L22" s="0" t="str">
        <f aca="false">"11.25"</f>
        <v>11.25</v>
      </c>
      <c r="M22" s="0" t="str">
        <f aca="false">"-156.9"</f>
        <v>-156.9</v>
      </c>
    </row>
    <row r="23" customFormat="false" ht="14.65" hidden="false" customHeight="false" outlineLevel="0" collapsed="false">
      <c r="A23" s="0" t="s">
        <v>2204</v>
      </c>
      <c r="B23" s="0" t="s">
        <v>9</v>
      </c>
      <c r="C23" s="0" t="str">
        <f aca="false">"264-275"</f>
        <v>264-275</v>
      </c>
      <c r="D23" s="0" t="s">
        <v>9</v>
      </c>
      <c r="E23" s="0" t="str">
        <f aca="false">"295-306"</f>
        <v>295-306</v>
      </c>
      <c r="F23" s="0" t="s">
        <v>2237</v>
      </c>
      <c r="G23" s="0" t="s">
        <v>9</v>
      </c>
      <c r="H23" s="0" t="str">
        <f aca="false">"106-117"</f>
        <v>106-117</v>
      </c>
      <c r="I23" s="0" t="s">
        <v>9</v>
      </c>
      <c r="J23" s="0" t="str">
        <f aca="false">"133-144"</f>
        <v>133-144</v>
      </c>
      <c r="K23" s="0" t="str">
        <f aca="false">"1.06"</f>
        <v>1.06</v>
      </c>
      <c r="L23" s="0" t="str">
        <f aca="false">"13.85"</f>
        <v>13.85</v>
      </c>
      <c r="M23" s="0" t="str">
        <f aca="false">"-157.0"</f>
        <v>-157.0</v>
      </c>
    </row>
    <row r="24" customFormat="false" ht="14.65" hidden="false" customHeight="false" outlineLevel="0" collapsed="false">
      <c r="A24" s="0" t="s">
        <v>2204</v>
      </c>
      <c r="B24" s="0" t="s">
        <v>9</v>
      </c>
      <c r="C24" s="0" t="str">
        <f aca="false">"271-282"</f>
        <v>271-282</v>
      </c>
      <c r="D24" s="0" t="s">
        <v>9</v>
      </c>
      <c r="E24" s="0" t="str">
        <f aca="false">"291-302"</f>
        <v>291-302</v>
      </c>
      <c r="F24" s="0" t="s">
        <v>2238</v>
      </c>
      <c r="G24" s="0" t="s">
        <v>9</v>
      </c>
      <c r="H24" s="0" t="str">
        <f aca="false">"244-255"</f>
        <v>244-255</v>
      </c>
      <c r="I24" s="0" t="s">
        <v>9</v>
      </c>
      <c r="J24" s="0" t="str">
        <f aca="false">"119-130"</f>
        <v>119-130</v>
      </c>
      <c r="K24" s="0" t="str">
        <f aca="false">"1.19"</f>
        <v>1.19</v>
      </c>
      <c r="L24" s="0" t="str">
        <f aca="false">"9.97"</f>
        <v>9.97</v>
      </c>
      <c r="M24" s="0" t="str">
        <f aca="false">"-157.2"</f>
        <v>-157.2</v>
      </c>
    </row>
    <row r="25" customFormat="false" ht="14.65" hidden="false" customHeight="false" outlineLevel="0" collapsed="false">
      <c r="A25" s="0" t="s">
        <v>2204</v>
      </c>
      <c r="B25" s="0" t="s">
        <v>9</v>
      </c>
      <c r="C25" s="0" t="str">
        <f aca="false">"263-274"</f>
        <v>263-274</v>
      </c>
      <c r="D25" s="0" t="s">
        <v>9</v>
      </c>
      <c r="E25" s="0" t="str">
        <f aca="false">"295-306"</f>
        <v>295-306</v>
      </c>
      <c r="F25" s="0" t="s">
        <v>2239</v>
      </c>
      <c r="G25" s="0" t="s">
        <v>13</v>
      </c>
      <c r="H25" s="0" t="str">
        <f aca="false">"84-95"</f>
        <v>84-95</v>
      </c>
      <c r="I25" s="0" t="s">
        <v>13</v>
      </c>
      <c r="J25" s="0" t="str">
        <f aca="false">"113-124"</f>
        <v>113-124</v>
      </c>
      <c r="K25" s="0" t="str">
        <f aca="false">"0.90"</f>
        <v>0.90</v>
      </c>
      <c r="L25" s="0" t="str">
        <f aca="false">"14.05"</f>
        <v>14.05</v>
      </c>
      <c r="M25" s="0" t="str">
        <f aca="false">"-157.2"</f>
        <v>-157.2</v>
      </c>
    </row>
    <row r="26" customFormat="false" ht="14.65" hidden="false" customHeight="false" outlineLevel="0" collapsed="false">
      <c r="A26" s="0" t="s">
        <v>2204</v>
      </c>
      <c r="B26" s="0" t="s">
        <v>9</v>
      </c>
      <c r="C26" s="0" t="str">
        <f aca="false">"271-282"</f>
        <v>271-282</v>
      </c>
      <c r="D26" s="0" t="s">
        <v>9</v>
      </c>
      <c r="E26" s="0" t="str">
        <f aca="false">"291-302"</f>
        <v>291-302</v>
      </c>
      <c r="F26" s="0" t="s">
        <v>1705</v>
      </c>
      <c r="G26" s="0" t="s">
        <v>9</v>
      </c>
      <c r="H26" s="0" t="str">
        <f aca="false">"15-26"</f>
        <v>15-26</v>
      </c>
      <c r="I26" s="0" t="s">
        <v>9</v>
      </c>
      <c r="J26" s="0" t="str">
        <f aca="false">"92-103"</f>
        <v>92-103</v>
      </c>
      <c r="K26" s="0" t="str">
        <f aca="false">"1.24"</f>
        <v>1.24</v>
      </c>
      <c r="L26" s="0" t="str">
        <f aca="false">"9.87"</f>
        <v>9.87</v>
      </c>
      <c r="M26" s="0" t="str">
        <f aca="false">"-157.9"</f>
        <v>-157.9</v>
      </c>
    </row>
    <row r="27" customFormat="false" ht="14.65" hidden="false" customHeight="false" outlineLevel="0" collapsed="false">
      <c r="A27" s="0" t="s">
        <v>2204</v>
      </c>
      <c r="B27" s="0" t="s">
        <v>9</v>
      </c>
      <c r="C27" s="0" t="str">
        <f aca="false">"265-276"</f>
        <v>265-276</v>
      </c>
      <c r="D27" s="0" t="s">
        <v>9</v>
      </c>
      <c r="E27" s="0" t="str">
        <f aca="false">"296-307"</f>
        <v>296-307</v>
      </c>
      <c r="F27" s="0" t="s">
        <v>2240</v>
      </c>
      <c r="G27" s="0" t="s">
        <v>24</v>
      </c>
      <c r="H27" s="0" t="str">
        <f aca="false">"183-194"</f>
        <v>183-194</v>
      </c>
      <c r="I27" s="0" t="s">
        <v>24</v>
      </c>
      <c r="J27" s="0" t="str">
        <f aca="false">"197-208"</f>
        <v>197-208</v>
      </c>
      <c r="K27" s="0" t="str">
        <f aca="false">"1.20"</f>
        <v>1.20</v>
      </c>
      <c r="L27" s="0" t="str">
        <f aca="false">"11.17"</f>
        <v>11.17</v>
      </c>
      <c r="M27" s="0" t="str">
        <f aca="false">"-159.0"</f>
        <v>-159.0</v>
      </c>
    </row>
    <row r="28" customFormat="false" ht="14.65" hidden="false" customHeight="false" outlineLevel="0" collapsed="false">
      <c r="A28" s="0" t="s">
        <v>2204</v>
      </c>
      <c r="B28" s="0" t="s">
        <v>9</v>
      </c>
      <c r="C28" s="0" t="str">
        <f aca="false">"270-281"</f>
        <v>270-281</v>
      </c>
      <c r="D28" s="0" t="s">
        <v>9</v>
      </c>
      <c r="E28" s="0" t="str">
        <f aca="false">"291-302"</f>
        <v>291-302</v>
      </c>
      <c r="F28" s="0" t="s">
        <v>1708</v>
      </c>
      <c r="G28" s="0" t="s">
        <v>9</v>
      </c>
      <c r="H28" s="0" t="str">
        <f aca="false">"756-767"</f>
        <v>756-767</v>
      </c>
      <c r="I28" s="0" t="s">
        <v>9</v>
      </c>
      <c r="J28" s="0" t="str">
        <f aca="false">"683-694"</f>
        <v>683-694</v>
      </c>
      <c r="K28" s="0" t="str">
        <f aca="false">"1.25"</f>
        <v>1.25</v>
      </c>
      <c r="L28" s="0" t="str">
        <f aca="false">"10.68"</f>
        <v>10.68</v>
      </c>
      <c r="M28" s="0" t="str">
        <f aca="false">"-159.0"</f>
        <v>-159.0</v>
      </c>
    </row>
    <row r="29" customFormat="false" ht="14.65" hidden="false" customHeight="false" outlineLevel="0" collapsed="false">
      <c r="A29" s="0" t="s">
        <v>2204</v>
      </c>
      <c r="B29" s="0" t="s">
        <v>9</v>
      </c>
      <c r="C29" s="0" t="str">
        <f aca="false">"271-282"</f>
        <v>271-282</v>
      </c>
      <c r="D29" s="0" t="s">
        <v>9</v>
      </c>
      <c r="E29" s="0" t="str">
        <f aca="false">"291-302"</f>
        <v>291-302</v>
      </c>
      <c r="F29" s="0" t="s">
        <v>2241</v>
      </c>
      <c r="G29" s="0" t="s">
        <v>9</v>
      </c>
      <c r="H29" s="0" t="str">
        <f aca="false">"50-61"</f>
        <v>50-61</v>
      </c>
      <c r="I29" s="0" t="s">
        <v>9</v>
      </c>
      <c r="J29" s="0" t="str">
        <f aca="false">"161-172"</f>
        <v>161-172</v>
      </c>
      <c r="K29" s="0" t="str">
        <f aca="false">"1.21"</f>
        <v>1.21</v>
      </c>
      <c r="L29" s="0" t="str">
        <f aca="false">"12.15"</f>
        <v>12.15</v>
      </c>
      <c r="M29" s="0" t="str">
        <f aca="false">"-160.0"</f>
        <v>-160.0</v>
      </c>
    </row>
    <row r="30" customFormat="false" ht="14.65" hidden="false" customHeight="false" outlineLevel="0" collapsed="false">
      <c r="A30" s="0" t="s">
        <v>2204</v>
      </c>
      <c r="B30" s="0" t="s">
        <v>9</v>
      </c>
      <c r="C30" s="0" t="str">
        <f aca="false">"271-282"</f>
        <v>271-282</v>
      </c>
      <c r="D30" s="0" t="s">
        <v>9</v>
      </c>
      <c r="E30" s="0" t="str">
        <f aca="false">"291-302"</f>
        <v>291-302</v>
      </c>
      <c r="F30" s="0" t="s">
        <v>2242</v>
      </c>
      <c r="G30" s="0" t="s">
        <v>13</v>
      </c>
      <c r="H30" s="0" t="str">
        <f aca="false">"136-147"</f>
        <v>136-147</v>
      </c>
      <c r="I30" s="0" t="s">
        <v>13</v>
      </c>
      <c r="J30" s="0" t="str">
        <f aca="false">"51-62"</f>
        <v>51-62</v>
      </c>
      <c r="K30" s="0" t="str">
        <f aca="false">"1.07"</f>
        <v>1.07</v>
      </c>
      <c r="L30" s="0" t="str">
        <f aca="false">"12.19"</f>
        <v>12.19</v>
      </c>
      <c r="M30" s="0" t="str">
        <f aca="false">"-160.2"</f>
        <v>-160.2</v>
      </c>
    </row>
    <row r="31" customFormat="false" ht="14.65" hidden="false" customHeight="false" outlineLevel="0" collapsed="false">
      <c r="A31" s="0" t="s">
        <v>2204</v>
      </c>
      <c r="B31" s="0" t="s">
        <v>9</v>
      </c>
      <c r="C31" s="0" t="str">
        <f aca="false">"271-282"</f>
        <v>271-282</v>
      </c>
      <c r="D31" s="0" t="s">
        <v>9</v>
      </c>
      <c r="E31" s="0" t="str">
        <f aca="false">"291-302"</f>
        <v>291-302</v>
      </c>
      <c r="F31" s="0" t="s">
        <v>2243</v>
      </c>
      <c r="G31" s="0" t="s">
        <v>9</v>
      </c>
      <c r="H31" s="0" t="str">
        <f aca="false">"162-173"</f>
        <v>162-173</v>
      </c>
      <c r="I31" s="0" t="s">
        <v>9</v>
      </c>
      <c r="J31" s="0" t="str">
        <f aca="false">"229-240"</f>
        <v>229-240</v>
      </c>
      <c r="K31" s="0" t="str">
        <f aca="false">"1.22"</f>
        <v>1.22</v>
      </c>
      <c r="L31" s="0" t="str">
        <f aca="false">"12.10"</f>
        <v>12.10</v>
      </c>
      <c r="M31" s="0" t="str">
        <f aca="false">"-160.3"</f>
        <v>-160.3</v>
      </c>
    </row>
    <row r="32" customFormat="false" ht="14.65" hidden="false" customHeight="false" outlineLevel="0" collapsed="false">
      <c r="A32" s="0" t="s">
        <v>2204</v>
      </c>
      <c r="B32" s="0" t="s">
        <v>9</v>
      </c>
      <c r="C32" s="0" t="str">
        <f aca="false">"271-282"</f>
        <v>271-282</v>
      </c>
      <c r="D32" s="0" t="s">
        <v>9</v>
      </c>
      <c r="E32" s="0" t="str">
        <f aca="false">"291-302"</f>
        <v>291-302</v>
      </c>
      <c r="F32" s="0" t="s">
        <v>2244</v>
      </c>
      <c r="G32" s="0" t="s">
        <v>13</v>
      </c>
      <c r="H32" s="0" t="str">
        <f aca="false">"18-29"</f>
        <v>18-29</v>
      </c>
      <c r="I32" s="0" t="s">
        <v>13</v>
      </c>
      <c r="J32" s="0" t="str">
        <f aca="false">"44-55"</f>
        <v>44-55</v>
      </c>
      <c r="K32" s="0" t="str">
        <f aca="false">"1.08"</f>
        <v>1.08</v>
      </c>
      <c r="L32" s="0" t="str">
        <f aca="false">"12.40"</f>
        <v>12.40</v>
      </c>
      <c r="M32" s="0" t="str">
        <f aca="false">"-160.4"</f>
        <v>-160.4</v>
      </c>
    </row>
    <row r="33" customFormat="false" ht="14.65" hidden="false" customHeight="false" outlineLevel="0" collapsed="false">
      <c r="A33" s="0" t="s">
        <v>2204</v>
      </c>
      <c r="B33" s="0" t="s">
        <v>9</v>
      </c>
      <c r="C33" s="0" t="str">
        <f aca="false">"268-279"</f>
        <v>268-279</v>
      </c>
      <c r="D33" s="0" t="s">
        <v>9</v>
      </c>
      <c r="E33" s="0" t="str">
        <f aca="false">"291-302"</f>
        <v>291-302</v>
      </c>
      <c r="F33" s="0" t="s">
        <v>2245</v>
      </c>
      <c r="G33" s="0" t="s">
        <v>9</v>
      </c>
      <c r="H33" s="0" t="str">
        <f aca="false">"77-88"</f>
        <v>77-88</v>
      </c>
      <c r="I33" s="0" t="s">
        <v>9</v>
      </c>
      <c r="J33" s="0" t="str">
        <f aca="false">"146-157"</f>
        <v>146-157</v>
      </c>
      <c r="K33" s="0" t="str">
        <f aca="false">"1.18"</f>
        <v>1.18</v>
      </c>
      <c r="L33" s="0" t="str">
        <f aca="false">"13.13"</f>
        <v>13.13</v>
      </c>
      <c r="M33" s="0" t="str">
        <f aca="false">"-160.8"</f>
        <v>-160.8</v>
      </c>
    </row>
    <row r="34" customFormat="false" ht="14.65" hidden="false" customHeight="false" outlineLevel="0" collapsed="false">
      <c r="A34" s="0" t="s">
        <v>2204</v>
      </c>
      <c r="B34" s="0" t="s">
        <v>9</v>
      </c>
      <c r="C34" s="0" t="str">
        <f aca="false">"271-282"</f>
        <v>271-282</v>
      </c>
      <c r="D34" s="0" t="s">
        <v>9</v>
      </c>
      <c r="E34" s="0" t="str">
        <f aca="false">"291-302"</f>
        <v>291-302</v>
      </c>
      <c r="F34" s="0" t="s">
        <v>1717</v>
      </c>
      <c r="G34" s="0" t="s">
        <v>13</v>
      </c>
      <c r="H34" s="0" t="str">
        <f aca="false">"22-33"</f>
        <v>22-33</v>
      </c>
      <c r="I34" s="0" t="s">
        <v>13</v>
      </c>
      <c r="J34" s="0" t="str">
        <f aca="false">"109-120"</f>
        <v>109-120</v>
      </c>
      <c r="K34" s="0" t="str">
        <f aca="false">"0.93"</f>
        <v>0.93</v>
      </c>
      <c r="L34" s="0" t="str">
        <f aca="false">"12.26"</f>
        <v>12.26</v>
      </c>
      <c r="M34" s="0" t="str">
        <f aca="false">"-161.2"</f>
        <v>-161.2</v>
      </c>
    </row>
    <row r="35" customFormat="false" ht="14.65" hidden="false" customHeight="false" outlineLevel="0" collapsed="false">
      <c r="A35" s="0" t="s">
        <v>2204</v>
      </c>
      <c r="B35" s="0" t="s">
        <v>9</v>
      </c>
      <c r="C35" s="0" t="str">
        <f aca="false">"268-279"</f>
        <v>268-279</v>
      </c>
      <c r="D35" s="0" t="s">
        <v>9</v>
      </c>
      <c r="E35" s="0" t="str">
        <f aca="false">"291-302"</f>
        <v>291-302</v>
      </c>
      <c r="F35" s="0" t="s">
        <v>2246</v>
      </c>
      <c r="G35" s="0" t="s">
        <v>9</v>
      </c>
      <c r="H35" s="0" t="str">
        <f aca="false">"124-135"</f>
        <v>124-135</v>
      </c>
      <c r="I35" s="0" t="s">
        <v>9</v>
      </c>
      <c r="J35" s="0" t="str">
        <f aca="false">"85-96"</f>
        <v>85-96</v>
      </c>
      <c r="K35" s="0" t="str">
        <f aca="false">"1.11"</f>
        <v>1.11</v>
      </c>
      <c r="L35" s="0" t="str">
        <f aca="false">"13.64"</f>
        <v>13.64</v>
      </c>
      <c r="M35" s="0" t="str">
        <f aca="false">"-161.5"</f>
        <v>-161.5</v>
      </c>
    </row>
    <row r="36" customFormat="false" ht="14.65" hidden="false" customHeight="false" outlineLevel="0" collapsed="false">
      <c r="A36" s="0" t="s">
        <v>2204</v>
      </c>
      <c r="B36" s="0" t="s">
        <v>9</v>
      </c>
      <c r="C36" s="0" t="str">
        <f aca="false">"268-279"</f>
        <v>268-279</v>
      </c>
      <c r="D36" s="0" t="s">
        <v>9</v>
      </c>
      <c r="E36" s="0" t="str">
        <f aca="false">"292-303"</f>
        <v>292-303</v>
      </c>
      <c r="F36" s="0" t="s">
        <v>2247</v>
      </c>
      <c r="G36" s="0" t="s">
        <v>9</v>
      </c>
      <c r="H36" s="0" t="str">
        <f aca="false">"24-35"</f>
        <v>24-35</v>
      </c>
      <c r="I36" s="0" t="s">
        <v>9</v>
      </c>
      <c r="J36" s="0" t="str">
        <f aca="false">"183-194"</f>
        <v>183-194</v>
      </c>
      <c r="K36" s="0" t="str">
        <f aca="false">"1.04"</f>
        <v>1.04</v>
      </c>
      <c r="L36" s="0" t="str">
        <f aca="false">"12.77"</f>
        <v>12.77</v>
      </c>
      <c r="M36" s="0" t="str">
        <f aca="false">"-162.0"</f>
        <v>-162.0</v>
      </c>
    </row>
    <row r="37" customFormat="false" ht="14.65" hidden="false" customHeight="false" outlineLevel="0" collapsed="false">
      <c r="A37" s="0" t="s">
        <v>2204</v>
      </c>
      <c r="B37" s="0" t="s">
        <v>9</v>
      </c>
      <c r="C37" s="0" t="str">
        <f aca="false">"271-282"</f>
        <v>271-282</v>
      </c>
      <c r="D37" s="0" t="s">
        <v>9</v>
      </c>
      <c r="E37" s="0" t="str">
        <f aca="false">"291-302"</f>
        <v>291-302</v>
      </c>
      <c r="F37" s="0" t="s">
        <v>90</v>
      </c>
      <c r="G37" s="0" t="s">
        <v>13</v>
      </c>
      <c r="H37" s="0" t="str">
        <f aca="false">"79-90"</f>
        <v>79-90</v>
      </c>
      <c r="I37" s="0" t="s">
        <v>13</v>
      </c>
      <c r="J37" s="0" t="str">
        <f aca="false">"55-66"</f>
        <v>55-66</v>
      </c>
      <c r="K37" s="0" t="str">
        <f aca="false">"1.12"</f>
        <v>1.12</v>
      </c>
      <c r="L37" s="0" t="str">
        <f aca="false">"11.05"</f>
        <v>11.05</v>
      </c>
      <c r="M37" s="0" t="str">
        <f aca="false">"-162.3"</f>
        <v>-162.3</v>
      </c>
    </row>
    <row r="38" customFormat="false" ht="14.65" hidden="false" customHeight="false" outlineLevel="0" collapsed="false">
      <c r="A38" s="0" t="s">
        <v>2204</v>
      </c>
      <c r="B38" s="0" t="s">
        <v>9</v>
      </c>
      <c r="C38" s="0" t="str">
        <f aca="false">"271-282"</f>
        <v>271-282</v>
      </c>
      <c r="D38" s="0" t="s">
        <v>9</v>
      </c>
      <c r="E38" s="0" t="str">
        <f aca="false">"291-302"</f>
        <v>291-302</v>
      </c>
      <c r="F38" s="0" t="s">
        <v>2248</v>
      </c>
      <c r="G38" s="0" t="s">
        <v>9</v>
      </c>
      <c r="H38" s="0" t="str">
        <f aca="false">"147-158"</f>
        <v>147-158</v>
      </c>
      <c r="I38" s="0" t="s">
        <v>9</v>
      </c>
      <c r="J38" s="0" t="str">
        <f aca="false">"86-97"</f>
        <v>86-97</v>
      </c>
      <c r="K38" s="0" t="str">
        <f aca="false">"1.18"</f>
        <v>1.18</v>
      </c>
      <c r="L38" s="0" t="str">
        <f aca="false">"11.04"</f>
        <v>11.04</v>
      </c>
      <c r="M38" s="0" t="str">
        <f aca="false">"-162.3"</f>
        <v>-162.3</v>
      </c>
    </row>
    <row r="39" customFormat="false" ht="14.65" hidden="false" customHeight="false" outlineLevel="0" collapsed="false">
      <c r="A39" s="0" t="s">
        <v>2204</v>
      </c>
      <c r="B39" s="0" t="s">
        <v>9</v>
      </c>
      <c r="C39" s="0" t="str">
        <f aca="false">"271-282"</f>
        <v>271-282</v>
      </c>
      <c r="D39" s="0" t="s">
        <v>9</v>
      </c>
      <c r="E39" s="0" t="str">
        <f aca="false">"291-302"</f>
        <v>291-302</v>
      </c>
      <c r="F39" s="0" t="s">
        <v>2249</v>
      </c>
      <c r="G39" s="0" t="s">
        <v>13</v>
      </c>
      <c r="H39" s="0" t="str">
        <f aca="false">"143-154"</f>
        <v>143-154</v>
      </c>
      <c r="I39" s="0" t="s">
        <v>13</v>
      </c>
      <c r="J39" s="0" t="str">
        <f aca="false">"37-48"</f>
        <v>37-48</v>
      </c>
      <c r="K39" s="0" t="str">
        <f aca="false">"1.10"</f>
        <v>1.10</v>
      </c>
      <c r="L39" s="0" t="str">
        <f aca="false">"11.57"</f>
        <v>11.57</v>
      </c>
      <c r="M39" s="0" t="str">
        <f aca="false">"-162.5"</f>
        <v>-162.5</v>
      </c>
    </row>
    <row r="40" customFormat="false" ht="14.65" hidden="false" customHeight="false" outlineLevel="0" collapsed="false">
      <c r="A40" s="0" t="s">
        <v>2204</v>
      </c>
      <c r="B40" s="0" t="s">
        <v>9</v>
      </c>
      <c r="C40" s="0" t="str">
        <f aca="false">"271-282"</f>
        <v>271-282</v>
      </c>
      <c r="D40" s="0" t="s">
        <v>9</v>
      </c>
      <c r="E40" s="0" t="str">
        <f aca="false">"291-302"</f>
        <v>291-302</v>
      </c>
      <c r="F40" s="0" t="s">
        <v>45</v>
      </c>
      <c r="G40" s="0" t="s">
        <v>9</v>
      </c>
      <c r="H40" s="0" t="str">
        <f aca="false">"1757-1768"</f>
        <v>1757-1768</v>
      </c>
      <c r="I40" s="0" t="s">
        <v>9</v>
      </c>
      <c r="J40" s="0" t="str">
        <f aca="false">"1702-1713"</f>
        <v>1702-1713</v>
      </c>
      <c r="K40" s="0" t="str">
        <f aca="false">"1.14"</f>
        <v>1.14</v>
      </c>
      <c r="L40" s="0" t="str">
        <f aca="false">"11.32"</f>
        <v>11.32</v>
      </c>
      <c r="M40" s="0" t="str">
        <f aca="false">"-162.8"</f>
        <v>-162.8</v>
      </c>
    </row>
    <row r="41" customFormat="false" ht="14.65" hidden="false" customHeight="false" outlineLevel="0" collapsed="false">
      <c r="A41" s="0" t="s">
        <v>2204</v>
      </c>
      <c r="B41" s="0" t="s">
        <v>9</v>
      </c>
      <c r="C41" s="0" t="str">
        <f aca="false">"271-282"</f>
        <v>271-282</v>
      </c>
      <c r="D41" s="0" t="s">
        <v>9</v>
      </c>
      <c r="E41" s="0" t="str">
        <f aca="false">"290-301"</f>
        <v>290-301</v>
      </c>
      <c r="F41" s="0" t="s">
        <v>2250</v>
      </c>
      <c r="G41" s="0" t="s">
        <v>9</v>
      </c>
      <c r="H41" s="0" t="str">
        <f aca="false">"87-98"</f>
        <v>87-98</v>
      </c>
      <c r="I41" s="0" t="s">
        <v>9</v>
      </c>
      <c r="J41" s="0" t="str">
        <f aca="false">"265-276"</f>
        <v>265-276</v>
      </c>
      <c r="K41" s="0" t="str">
        <f aca="false">"1.11"</f>
        <v>1.11</v>
      </c>
      <c r="L41" s="0" t="str">
        <f aca="false">"12.19"</f>
        <v>12.19</v>
      </c>
      <c r="M41" s="0" t="str">
        <f aca="false">"-163.6"</f>
        <v>-163.6</v>
      </c>
    </row>
    <row r="42" customFormat="false" ht="14.65" hidden="false" customHeight="false" outlineLevel="0" collapsed="false">
      <c r="A42" s="0" t="s">
        <v>2204</v>
      </c>
      <c r="B42" s="0" t="s">
        <v>9</v>
      </c>
      <c r="C42" s="0" t="str">
        <f aca="false">"265-276"</f>
        <v>265-276</v>
      </c>
      <c r="D42" s="0" t="s">
        <v>9</v>
      </c>
      <c r="E42" s="0" t="str">
        <f aca="false">"296-307"</f>
        <v>296-307</v>
      </c>
      <c r="F42" s="0" t="s">
        <v>2251</v>
      </c>
      <c r="G42" s="0" t="s">
        <v>9</v>
      </c>
      <c r="H42" s="0" t="str">
        <f aca="false">"317-328"</f>
        <v>317-328</v>
      </c>
      <c r="I42" s="0" t="s">
        <v>9</v>
      </c>
      <c r="J42" s="0" t="str">
        <f aca="false">"334-345"</f>
        <v>334-345</v>
      </c>
      <c r="K42" s="0" t="str">
        <f aca="false">"0.98"</f>
        <v>0.98</v>
      </c>
      <c r="L42" s="0" t="str">
        <f aca="false">"12.81"</f>
        <v>12.81</v>
      </c>
      <c r="M42" s="0" t="str">
        <f aca="false">"-163.7"</f>
        <v>-163.7</v>
      </c>
    </row>
    <row r="43" customFormat="false" ht="14.65" hidden="false" customHeight="false" outlineLevel="0" collapsed="false">
      <c r="A43" s="0" t="s">
        <v>2204</v>
      </c>
      <c r="B43" s="0" t="s">
        <v>9</v>
      </c>
      <c r="C43" s="0" t="str">
        <f aca="false">"271-282"</f>
        <v>271-282</v>
      </c>
      <c r="D43" s="0" t="s">
        <v>9</v>
      </c>
      <c r="E43" s="0" t="str">
        <f aca="false">"291-302"</f>
        <v>291-302</v>
      </c>
      <c r="F43" s="0" t="s">
        <v>123</v>
      </c>
      <c r="G43" s="0" t="s">
        <v>9</v>
      </c>
      <c r="H43" s="0" t="str">
        <f aca="false">"180-191"</f>
        <v>180-191</v>
      </c>
      <c r="I43" s="0" t="s">
        <v>9</v>
      </c>
      <c r="J43" s="0" t="str">
        <f aca="false">"267-278"</f>
        <v>267-278</v>
      </c>
      <c r="K43" s="0" t="str">
        <f aca="false">"1.16"</f>
        <v>1.16</v>
      </c>
      <c r="L43" s="0" t="str">
        <f aca="false">"11.89"</f>
        <v>11.89</v>
      </c>
      <c r="M43" s="0" t="str">
        <f aca="false">"-163.8"</f>
        <v>-163.8</v>
      </c>
    </row>
    <row r="44" customFormat="false" ht="14.65" hidden="false" customHeight="false" outlineLevel="0" collapsed="false">
      <c r="A44" s="0" t="s">
        <v>2204</v>
      </c>
      <c r="B44" s="0" t="s">
        <v>9</v>
      </c>
      <c r="C44" s="0" t="str">
        <f aca="false">"271-282"</f>
        <v>271-282</v>
      </c>
      <c r="D44" s="0" t="s">
        <v>9</v>
      </c>
      <c r="E44" s="0" t="str">
        <f aca="false">"291-302"</f>
        <v>291-302</v>
      </c>
      <c r="F44" s="0" t="s">
        <v>2252</v>
      </c>
      <c r="G44" s="0" t="s">
        <v>13</v>
      </c>
      <c r="H44" s="0" t="str">
        <f aca="false">"100-111"</f>
        <v>100-111</v>
      </c>
      <c r="I44" s="0" t="s">
        <v>13</v>
      </c>
      <c r="J44" s="0" t="str">
        <f aca="false">"130-141"</f>
        <v>130-141</v>
      </c>
      <c r="K44" s="0" t="str">
        <f aca="false">"1.02"</f>
        <v>1.02</v>
      </c>
      <c r="L44" s="0" t="str">
        <f aca="false">"12.62"</f>
        <v>12.62</v>
      </c>
      <c r="M44" s="0" t="str">
        <f aca="false">"-164.1"</f>
        <v>-164.1</v>
      </c>
    </row>
    <row r="45" customFormat="false" ht="14.65" hidden="false" customHeight="false" outlineLevel="0" collapsed="false">
      <c r="A45" s="0" t="s">
        <v>2204</v>
      </c>
      <c r="B45" s="0" t="s">
        <v>9</v>
      </c>
      <c r="C45" s="0" t="str">
        <f aca="false">"271-282"</f>
        <v>271-282</v>
      </c>
      <c r="D45" s="0" t="s">
        <v>9</v>
      </c>
      <c r="E45" s="0" t="str">
        <f aca="false">"291-302"</f>
        <v>291-302</v>
      </c>
      <c r="F45" s="0" t="s">
        <v>2253</v>
      </c>
      <c r="G45" s="0" t="s">
        <v>120</v>
      </c>
      <c r="H45" s="0" t="str">
        <f aca="false">"51-62"</f>
        <v>51-62</v>
      </c>
      <c r="I45" s="0" t="s">
        <v>120</v>
      </c>
      <c r="J45" s="0" t="str">
        <f aca="false">"146-157"</f>
        <v>146-157</v>
      </c>
      <c r="K45" s="0" t="str">
        <f aca="false">"1.03"</f>
        <v>1.03</v>
      </c>
      <c r="L45" s="0" t="str">
        <f aca="false">"11.66"</f>
        <v>11.66</v>
      </c>
      <c r="M45" s="0" t="str">
        <f aca="false">"-164.3"</f>
        <v>-164.3</v>
      </c>
    </row>
    <row r="46" customFormat="false" ht="14.65" hidden="false" customHeight="false" outlineLevel="0" collapsed="false">
      <c r="A46" s="0" t="s">
        <v>2204</v>
      </c>
      <c r="B46" s="0" t="s">
        <v>9</v>
      </c>
      <c r="C46" s="0" t="str">
        <f aca="false">"271-282"</f>
        <v>271-282</v>
      </c>
      <c r="D46" s="0" t="s">
        <v>9</v>
      </c>
      <c r="E46" s="0" t="str">
        <f aca="false">"291-302"</f>
        <v>291-302</v>
      </c>
      <c r="F46" s="0" t="s">
        <v>118</v>
      </c>
      <c r="G46" s="0" t="s">
        <v>13</v>
      </c>
      <c r="H46" s="0" t="str">
        <f aca="false">"12-23"</f>
        <v>12-23</v>
      </c>
      <c r="I46" s="0" t="s">
        <v>13</v>
      </c>
      <c r="J46" s="0" t="str">
        <f aca="false">"156-167"</f>
        <v>156-167</v>
      </c>
      <c r="K46" s="0" t="str">
        <f aca="false">"1.21"</f>
        <v>1.21</v>
      </c>
      <c r="L46" s="0" t="str">
        <f aca="false">"11.02"</f>
        <v>11.02</v>
      </c>
      <c r="M46" s="0" t="str">
        <f aca="false">"-164.9"</f>
        <v>-164.9</v>
      </c>
    </row>
    <row r="47" customFormat="false" ht="14.65" hidden="false" customHeight="false" outlineLevel="0" collapsed="false">
      <c r="A47" s="0" t="s">
        <v>2204</v>
      </c>
      <c r="B47" s="0" t="s">
        <v>9</v>
      </c>
      <c r="C47" s="0" t="str">
        <f aca="false">"271-282"</f>
        <v>271-282</v>
      </c>
      <c r="D47" s="0" t="s">
        <v>9</v>
      </c>
      <c r="E47" s="0" t="str">
        <f aca="false">"291-302"</f>
        <v>291-302</v>
      </c>
      <c r="F47" s="0" t="s">
        <v>170</v>
      </c>
      <c r="G47" s="0" t="s">
        <v>9</v>
      </c>
      <c r="H47" s="0" t="str">
        <f aca="false">"12-23"</f>
        <v>12-23</v>
      </c>
      <c r="I47" s="0" t="s">
        <v>9</v>
      </c>
      <c r="J47" s="0" t="str">
        <f aca="false">"51-62"</f>
        <v>51-62</v>
      </c>
      <c r="K47" s="0" t="str">
        <f aca="false">"0.92"</f>
        <v>0.92</v>
      </c>
      <c r="L47" s="0" t="str">
        <f aca="false">"10.48"</f>
        <v>10.48</v>
      </c>
      <c r="M47" s="0" t="str">
        <f aca="false">"-165.3"</f>
        <v>-165.3</v>
      </c>
    </row>
    <row r="48" customFormat="false" ht="14.65" hidden="false" customHeight="false" outlineLevel="0" collapsed="false">
      <c r="A48" s="0" t="s">
        <v>2204</v>
      </c>
      <c r="B48" s="0" t="s">
        <v>9</v>
      </c>
      <c r="C48" s="0" t="str">
        <f aca="false">"271-282"</f>
        <v>271-282</v>
      </c>
      <c r="D48" s="0" t="s">
        <v>9</v>
      </c>
      <c r="E48" s="0" t="str">
        <f aca="false">"291-302"</f>
        <v>291-302</v>
      </c>
      <c r="F48" s="0" t="s">
        <v>2254</v>
      </c>
      <c r="G48" s="0" t="s">
        <v>24</v>
      </c>
      <c r="H48" s="0" t="str">
        <f aca="false">"242-253"</f>
        <v>242-253</v>
      </c>
      <c r="I48" s="0" t="s">
        <v>24</v>
      </c>
      <c r="J48" s="0" t="str">
        <f aca="false">"183-194"</f>
        <v>183-194</v>
      </c>
      <c r="K48" s="0" t="str">
        <f aca="false">"1.19"</f>
        <v>1.19</v>
      </c>
      <c r="L48" s="0" t="str">
        <f aca="false">"10.64"</f>
        <v>10.64</v>
      </c>
      <c r="M48" s="0" t="str">
        <f aca="false">"-165.7"</f>
        <v>-165.7</v>
      </c>
    </row>
    <row r="49" customFormat="false" ht="14.65" hidden="false" customHeight="false" outlineLevel="0" collapsed="false">
      <c r="A49" s="0" t="s">
        <v>2204</v>
      </c>
      <c r="B49" s="0" t="s">
        <v>9</v>
      </c>
      <c r="C49" s="0" t="str">
        <f aca="false">"271-282"</f>
        <v>271-282</v>
      </c>
      <c r="D49" s="0" t="s">
        <v>9</v>
      </c>
      <c r="E49" s="0" t="str">
        <f aca="false">"291-302"</f>
        <v>291-302</v>
      </c>
      <c r="F49" s="0" t="s">
        <v>1763</v>
      </c>
      <c r="G49" s="0" t="s">
        <v>13</v>
      </c>
      <c r="H49" s="0" t="str">
        <f aca="false">"17-28"</f>
        <v>17-28</v>
      </c>
      <c r="I49" s="0" t="s">
        <v>9</v>
      </c>
      <c r="J49" s="0" t="str">
        <f aca="false">"25-36"</f>
        <v>25-36</v>
      </c>
      <c r="K49" s="0" t="str">
        <f aca="false">"1.08"</f>
        <v>1.08</v>
      </c>
      <c r="L49" s="0" t="str">
        <f aca="false">"11.33"</f>
        <v>11.33</v>
      </c>
      <c r="M49" s="0" t="str">
        <f aca="false">"-165.7"</f>
        <v>-165.7</v>
      </c>
    </row>
    <row r="50" customFormat="false" ht="14.65" hidden="false" customHeight="false" outlineLevel="0" collapsed="false">
      <c r="A50" s="0" t="s">
        <v>2204</v>
      </c>
      <c r="B50" s="0" t="s">
        <v>9</v>
      </c>
      <c r="C50" s="0" t="str">
        <f aca="false">"271-282"</f>
        <v>271-282</v>
      </c>
      <c r="D50" s="0" t="s">
        <v>9</v>
      </c>
      <c r="E50" s="0" t="str">
        <f aca="false">"291-302"</f>
        <v>291-302</v>
      </c>
      <c r="F50" s="0" t="s">
        <v>94</v>
      </c>
      <c r="G50" s="0" t="s">
        <v>9</v>
      </c>
      <c r="H50" s="0" t="str">
        <f aca="false">"1863-1874"</f>
        <v>1863-1874</v>
      </c>
      <c r="I50" s="0" t="s">
        <v>9</v>
      </c>
      <c r="J50" s="0" t="str">
        <f aca="false">"1808-1819"</f>
        <v>1808-1819</v>
      </c>
      <c r="K50" s="0" t="str">
        <f aca="false">"0.89"</f>
        <v>0.89</v>
      </c>
      <c r="L50" s="0" t="str">
        <f aca="false">"11.78"</f>
        <v>11.78</v>
      </c>
      <c r="M50" s="0" t="str">
        <f aca="false">"-165.9"</f>
        <v>-165.9</v>
      </c>
    </row>
    <row r="51" customFormat="false" ht="14.65" hidden="false" customHeight="false" outlineLevel="0" collapsed="false">
      <c r="A51" s="0" t="s">
        <v>2204</v>
      </c>
      <c r="B51" s="0" t="s">
        <v>9</v>
      </c>
      <c r="C51" s="0" t="str">
        <f aca="false">"267-278"</f>
        <v>267-278</v>
      </c>
      <c r="D51" s="0" t="s">
        <v>9</v>
      </c>
      <c r="E51" s="0" t="str">
        <f aca="false">"295-306"</f>
        <v>295-306</v>
      </c>
      <c r="F51" s="0" t="s">
        <v>2255</v>
      </c>
      <c r="G51" s="0" t="s">
        <v>9</v>
      </c>
      <c r="H51" s="0" t="str">
        <f aca="false">"34-45"</f>
        <v>34-45</v>
      </c>
      <c r="I51" s="0" t="s">
        <v>9</v>
      </c>
      <c r="J51" s="0" t="str">
        <f aca="false">"55-66"</f>
        <v>55-66</v>
      </c>
      <c r="K51" s="0" t="str">
        <f aca="false">"0.87"</f>
        <v>0.87</v>
      </c>
      <c r="L51" s="0" t="str">
        <f aca="false">"12.14"</f>
        <v>12.14</v>
      </c>
      <c r="M51" s="0" t="str">
        <f aca="false">"-166.2"</f>
        <v>-166.2</v>
      </c>
    </row>
    <row r="52" customFormat="false" ht="14.65" hidden="false" customHeight="false" outlineLevel="0" collapsed="false">
      <c r="A52" s="0" t="s">
        <v>2204</v>
      </c>
      <c r="B52" s="0" t="s">
        <v>9</v>
      </c>
      <c r="C52" s="0" t="str">
        <f aca="false">"269-280"</f>
        <v>269-280</v>
      </c>
      <c r="D52" s="0" t="s">
        <v>9</v>
      </c>
      <c r="E52" s="0" t="str">
        <f aca="false">"292-303"</f>
        <v>292-303</v>
      </c>
      <c r="F52" s="0" t="s">
        <v>2256</v>
      </c>
      <c r="G52" s="0" t="s">
        <v>9</v>
      </c>
      <c r="H52" s="0" t="str">
        <f aca="false">"154-165"</f>
        <v>154-165</v>
      </c>
      <c r="I52" s="0" t="s">
        <v>9</v>
      </c>
      <c r="J52" s="0" t="str">
        <f aca="false">"172-183"</f>
        <v>172-183</v>
      </c>
      <c r="K52" s="0" t="str">
        <f aca="false">"0.88"</f>
        <v>0.88</v>
      </c>
      <c r="L52" s="0" t="str">
        <f aca="false">"12.04"</f>
        <v>12.04</v>
      </c>
      <c r="M52" s="0" t="str">
        <f aca="false">"-166.8"</f>
        <v>-166.8</v>
      </c>
    </row>
    <row r="53" customFormat="false" ht="14.65" hidden="false" customHeight="false" outlineLevel="0" collapsed="false">
      <c r="A53" s="0" t="s">
        <v>2204</v>
      </c>
      <c r="B53" s="0" t="s">
        <v>9</v>
      </c>
      <c r="C53" s="0" t="str">
        <f aca="false">"271-282"</f>
        <v>271-282</v>
      </c>
      <c r="D53" s="0" t="s">
        <v>9</v>
      </c>
      <c r="E53" s="0" t="str">
        <f aca="false">"291-302"</f>
        <v>291-302</v>
      </c>
      <c r="F53" s="0" t="s">
        <v>2257</v>
      </c>
      <c r="G53" s="0" t="s">
        <v>9</v>
      </c>
      <c r="H53" s="0" t="str">
        <f aca="false">"75-86"</f>
        <v>75-86</v>
      </c>
      <c r="I53" s="0" t="s">
        <v>9</v>
      </c>
      <c r="J53" s="0" t="str">
        <f aca="false">"60-71"</f>
        <v>60-71</v>
      </c>
      <c r="K53" s="0" t="str">
        <f aca="false">"1.13"</f>
        <v>1.13</v>
      </c>
      <c r="L53" s="0" t="str">
        <f aca="false">"10.03"</f>
        <v>10.03</v>
      </c>
      <c r="M53" s="0" t="str">
        <f aca="false">"-167.0"</f>
        <v>-167.0</v>
      </c>
    </row>
    <row r="54" customFormat="false" ht="14.65" hidden="false" customHeight="false" outlineLevel="0" collapsed="false">
      <c r="A54" s="0" t="s">
        <v>2204</v>
      </c>
      <c r="B54" s="0" t="s">
        <v>9</v>
      </c>
      <c r="C54" s="0" t="str">
        <f aca="false">"271-282"</f>
        <v>271-282</v>
      </c>
      <c r="D54" s="0" t="s">
        <v>9</v>
      </c>
      <c r="E54" s="0" t="str">
        <f aca="false">"291-302"</f>
        <v>291-302</v>
      </c>
      <c r="F54" s="0" t="s">
        <v>2258</v>
      </c>
      <c r="G54" s="0" t="s">
        <v>13</v>
      </c>
      <c r="H54" s="0" t="str">
        <f aca="false">"70-81"</f>
        <v>70-81</v>
      </c>
      <c r="I54" s="0" t="s">
        <v>13</v>
      </c>
      <c r="J54" s="0" t="str">
        <f aca="false">"11-22"</f>
        <v>11-22</v>
      </c>
      <c r="K54" s="0" t="str">
        <f aca="false">"0.75"</f>
        <v>0.75</v>
      </c>
      <c r="L54" s="0" t="str">
        <f aca="false">"10.86"</f>
        <v>10.86</v>
      </c>
      <c r="M54" s="0" t="str">
        <f aca="false">"-167.3"</f>
        <v>-167.3</v>
      </c>
    </row>
    <row r="55" customFormat="false" ht="14.65" hidden="false" customHeight="false" outlineLevel="0" collapsed="false">
      <c r="A55" s="0" t="s">
        <v>2204</v>
      </c>
      <c r="B55" s="0" t="s">
        <v>9</v>
      </c>
      <c r="C55" s="0" t="str">
        <f aca="false">"271-282"</f>
        <v>271-282</v>
      </c>
      <c r="D55" s="0" t="s">
        <v>9</v>
      </c>
      <c r="E55" s="0" t="str">
        <f aca="false">"291-302"</f>
        <v>291-302</v>
      </c>
      <c r="F55" s="0" t="s">
        <v>384</v>
      </c>
      <c r="G55" s="0" t="s">
        <v>9</v>
      </c>
      <c r="H55" s="0" t="str">
        <f aca="false">"721-732"</f>
        <v>721-732</v>
      </c>
      <c r="I55" s="0" t="s">
        <v>9</v>
      </c>
      <c r="J55" s="0" t="str">
        <f aca="false">"747-758"</f>
        <v>747-758</v>
      </c>
      <c r="K55" s="0" t="str">
        <f aca="false">"1.24"</f>
        <v>1.24</v>
      </c>
      <c r="L55" s="0" t="str">
        <f aca="false">"10.60"</f>
        <v>10.60</v>
      </c>
      <c r="M55" s="0" t="str">
        <f aca="false">"-167.3"</f>
        <v>-167.3</v>
      </c>
    </row>
    <row r="56" customFormat="false" ht="14.65" hidden="false" customHeight="false" outlineLevel="0" collapsed="false">
      <c r="A56" s="0" t="s">
        <v>2204</v>
      </c>
      <c r="B56" s="0" t="s">
        <v>9</v>
      </c>
      <c r="C56" s="0" t="str">
        <f aca="false">"271-282"</f>
        <v>271-282</v>
      </c>
      <c r="D56" s="0" t="s">
        <v>9</v>
      </c>
      <c r="E56" s="0" t="str">
        <f aca="false">"291-302"</f>
        <v>291-302</v>
      </c>
      <c r="F56" s="0" t="s">
        <v>2259</v>
      </c>
      <c r="G56" s="0" t="s">
        <v>13</v>
      </c>
      <c r="H56" s="0" t="str">
        <f aca="false">"69-80"</f>
        <v>69-80</v>
      </c>
      <c r="I56" s="0" t="s">
        <v>13</v>
      </c>
      <c r="J56" s="0" t="str">
        <f aca="false">"166-177"</f>
        <v>166-177</v>
      </c>
      <c r="K56" s="0" t="str">
        <f aca="false">"1.17"</f>
        <v>1.17</v>
      </c>
      <c r="L56" s="0" t="str">
        <f aca="false">"12.34"</f>
        <v>12.34</v>
      </c>
      <c r="M56" s="0" t="str">
        <f aca="false">"-167.4"</f>
        <v>-167.4</v>
      </c>
    </row>
    <row r="57" customFormat="false" ht="14.65" hidden="false" customHeight="false" outlineLevel="0" collapsed="false">
      <c r="A57" s="0" t="s">
        <v>2204</v>
      </c>
      <c r="B57" s="0" t="s">
        <v>9</v>
      </c>
      <c r="C57" s="0" t="str">
        <f aca="false">"271-282"</f>
        <v>271-282</v>
      </c>
      <c r="D57" s="0" t="s">
        <v>9</v>
      </c>
      <c r="E57" s="0" t="str">
        <f aca="false">"291-302"</f>
        <v>291-302</v>
      </c>
      <c r="F57" s="0" t="s">
        <v>98</v>
      </c>
      <c r="G57" s="0" t="s">
        <v>13</v>
      </c>
      <c r="H57" s="0" t="str">
        <f aca="false">"107-118"</f>
        <v>107-118</v>
      </c>
      <c r="I57" s="0" t="s">
        <v>13</v>
      </c>
      <c r="J57" s="0" t="str">
        <f aca="false">"164-175"</f>
        <v>164-175</v>
      </c>
      <c r="K57" s="0" t="str">
        <f aca="false">"1.10"</f>
        <v>1.10</v>
      </c>
      <c r="L57" s="0" t="str">
        <f aca="false">"9.79"</f>
        <v>9.79</v>
      </c>
      <c r="M57" s="0" t="str">
        <f aca="false">"-167.5"</f>
        <v>-167.5</v>
      </c>
    </row>
    <row r="58" customFormat="false" ht="14.65" hidden="false" customHeight="false" outlineLevel="0" collapsed="false">
      <c r="A58" s="0" t="s">
        <v>2204</v>
      </c>
      <c r="B58" s="0" t="s">
        <v>9</v>
      </c>
      <c r="C58" s="0" t="str">
        <f aca="false">"267-278"</f>
        <v>267-278</v>
      </c>
      <c r="D58" s="0" t="s">
        <v>9</v>
      </c>
      <c r="E58" s="0" t="str">
        <f aca="false">"295-306"</f>
        <v>295-306</v>
      </c>
      <c r="F58" s="0" t="s">
        <v>2260</v>
      </c>
      <c r="G58" s="0" t="s">
        <v>9</v>
      </c>
      <c r="H58" s="0" t="str">
        <f aca="false">"867-878"</f>
        <v>867-878</v>
      </c>
      <c r="I58" s="0" t="s">
        <v>9</v>
      </c>
      <c r="J58" s="0" t="str">
        <f aca="false">"839-850"</f>
        <v>839-850</v>
      </c>
      <c r="K58" s="0" t="str">
        <f aca="false">"0.76"</f>
        <v>0.76</v>
      </c>
      <c r="L58" s="0" t="str">
        <f aca="false">"12.51"</f>
        <v>12.51</v>
      </c>
      <c r="M58" s="0" t="str">
        <f aca="false">"-167.6"</f>
        <v>-167.6</v>
      </c>
    </row>
    <row r="59" customFormat="false" ht="14.65" hidden="false" customHeight="false" outlineLevel="0" collapsed="false">
      <c r="A59" s="0" t="s">
        <v>2204</v>
      </c>
      <c r="B59" s="0" t="s">
        <v>9</v>
      </c>
      <c r="C59" s="0" t="str">
        <f aca="false">"271-282"</f>
        <v>271-282</v>
      </c>
      <c r="D59" s="0" t="s">
        <v>9</v>
      </c>
      <c r="E59" s="0" t="str">
        <f aca="false">"291-302"</f>
        <v>291-302</v>
      </c>
      <c r="F59" s="0" t="s">
        <v>226</v>
      </c>
      <c r="G59" s="0" t="s">
        <v>9</v>
      </c>
      <c r="H59" s="0" t="str">
        <f aca="false">"51-62"</f>
        <v>51-62</v>
      </c>
      <c r="I59" s="0" t="s">
        <v>13</v>
      </c>
      <c r="J59" s="0" t="str">
        <f aca="false">"86-97"</f>
        <v>86-97</v>
      </c>
      <c r="K59" s="0" t="str">
        <f aca="false">"0.94"</f>
        <v>0.94</v>
      </c>
      <c r="L59" s="0" t="str">
        <f aca="false">"11.30"</f>
        <v>11.30</v>
      </c>
      <c r="M59" s="0" t="str">
        <f aca="false">"-167.7"</f>
        <v>-167.7</v>
      </c>
    </row>
    <row r="60" customFormat="false" ht="14.65" hidden="false" customHeight="false" outlineLevel="0" collapsed="false">
      <c r="A60" s="0" t="s">
        <v>2204</v>
      </c>
      <c r="B60" s="0" t="s">
        <v>9</v>
      </c>
      <c r="C60" s="0" t="str">
        <f aca="false">"271-282"</f>
        <v>271-282</v>
      </c>
      <c r="D60" s="0" t="s">
        <v>9</v>
      </c>
      <c r="E60" s="0" t="str">
        <f aca="false">"291-302"</f>
        <v>291-302</v>
      </c>
      <c r="F60" s="0" t="s">
        <v>482</v>
      </c>
      <c r="G60" s="0" t="s">
        <v>71</v>
      </c>
      <c r="H60" s="0" t="str">
        <f aca="false">"100-111"</f>
        <v>100-111</v>
      </c>
      <c r="I60" s="0" t="s">
        <v>71</v>
      </c>
      <c r="J60" s="0" t="str">
        <f aca="false">"11-22"</f>
        <v>11-22</v>
      </c>
      <c r="K60" s="0" t="str">
        <f aca="false">"0.86"</f>
        <v>0.86</v>
      </c>
      <c r="L60" s="0" t="str">
        <f aca="false">"12.37"</f>
        <v>12.37</v>
      </c>
      <c r="M60" s="0" t="str">
        <f aca="false">"-167.7"</f>
        <v>-167.7</v>
      </c>
    </row>
    <row r="61" customFormat="false" ht="14.65" hidden="false" customHeight="false" outlineLevel="0" collapsed="false">
      <c r="A61" s="0" t="s">
        <v>2204</v>
      </c>
      <c r="B61" s="0" t="s">
        <v>9</v>
      </c>
      <c r="C61" s="0" t="str">
        <f aca="false">"271-282"</f>
        <v>271-282</v>
      </c>
      <c r="D61" s="0" t="s">
        <v>9</v>
      </c>
      <c r="E61" s="0" t="str">
        <f aca="false">"291-302"</f>
        <v>291-302</v>
      </c>
      <c r="F61" s="0" t="s">
        <v>2261</v>
      </c>
      <c r="G61" s="0" t="s">
        <v>9</v>
      </c>
      <c r="H61" s="0" t="str">
        <f aca="false">"82-93"</f>
        <v>82-93</v>
      </c>
      <c r="I61" s="0" t="s">
        <v>9</v>
      </c>
      <c r="J61" s="0" t="str">
        <f aca="false">"104-115"</f>
        <v>104-115</v>
      </c>
      <c r="K61" s="0" t="str">
        <f aca="false">"1.04"</f>
        <v>1.04</v>
      </c>
      <c r="L61" s="0" t="str">
        <f aca="false">"11.19"</f>
        <v>11.19</v>
      </c>
      <c r="M61" s="0" t="str">
        <f aca="false">"-167.9"</f>
        <v>-167.9</v>
      </c>
    </row>
    <row r="62" customFormat="false" ht="14.65" hidden="false" customHeight="false" outlineLevel="0" collapsed="false">
      <c r="A62" s="0" t="s">
        <v>2204</v>
      </c>
      <c r="B62" s="0" t="s">
        <v>9</v>
      </c>
      <c r="C62" s="0" t="str">
        <f aca="false">"271-282"</f>
        <v>271-282</v>
      </c>
      <c r="D62" s="0" t="s">
        <v>9</v>
      </c>
      <c r="E62" s="0" t="str">
        <f aca="false">"291-302"</f>
        <v>291-302</v>
      </c>
      <c r="F62" s="0" t="s">
        <v>2262</v>
      </c>
      <c r="G62" s="0" t="s">
        <v>13</v>
      </c>
      <c r="H62" s="0" t="str">
        <f aca="false">"252-263"</f>
        <v>252-263</v>
      </c>
      <c r="I62" s="0" t="s">
        <v>13</v>
      </c>
      <c r="J62" s="0" t="str">
        <f aca="false">"441-452"</f>
        <v>441-452</v>
      </c>
      <c r="K62" s="0" t="str">
        <f aca="false">"0.87"</f>
        <v>0.87</v>
      </c>
      <c r="L62" s="0" t="str">
        <f aca="false">"11.84"</f>
        <v>11.84</v>
      </c>
      <c r="M62" s="0" t="str">
        <f aca="false">"-167.9"</f>
        <v>-167.9</v>
      </c>
    </row>
    <row r="63" customFormat="false" ht="14.65" hidden="false" customHeight="false" outlineLevel="0" collapsed="false">
      <c r="A63" s="0" t="s">
        <v>2204</v>
      </c>
      <c r="B63" s="0" t="s">
        <v>9</v>
      </c>
      <c r="C63" s="0" t="str">
        <f aca="false">"271-282"</f>
        <v>271-282</v>
      </c>
      <c r="D63" s="0" t="s">
        <v>9</v>
      </c>
      <c r="E63" s="0" t="str">
        <f aca="false">"291-302"</f>
        <v>291-302</v>
      </c>
      <c r="F63" s="0" t="s">
        <v>2263</v>
      </c>
      <c r="G63" s="0" t="s">
        <v>13</v>
      </c>
      <c r="H63" s="0" t="str">
        <f aca="false">"307-318"</f>
        <v>307-318</v>
      </c>
      <c r="I63" s="0" t="s">
        <v>13</v>
      </c>
      <c r="J63" s="0" t="str">
        <f aca="false">"290-301"</f>
        <v>290-301</v>
      </c>
      <c r="K63" s="0" t="str">
        <f aca="false">"1.15"</f>
        <v>1.15</v>
      </c>
      <c r="L63" s="0" t="str">
        <f aca="false">"10.12"</f>
        <v>10.12</v>
      </c>
      <c r="M63" s="0" t="str">
        <f aca="false">"-168.0"</f>
        <v>-168.0</v>
      </c>
    </row>
    <row r="64" customFormat="false" ht="14.65" hidden="false" customHeight="false" outlineLevel="0" collapsed="false">
      <c r="A64" s="0" t="s">
        <v>2204</v>
      </c>
      <c r="B64" s="0" t="s">
        <v>9</v>
      </c>
      <c r="C64" s="0" t="str">
        <f aca="false">"268-279"</f>
        <v>268-279</v>
      </c>
      <c r="D64" s="0" t="s">
        <v>9</v>
      </c>
      <c r="E64" s="0" t="str">
        <f aca="false">"294-305"</f>
        <v>294-305</v>
      </c>
      <c r="F64" s="0" t="s">
        <v>2264</v>
      </c>
      <c r="G64" s="0" t="s">
        <v>9</v>
      </c>
      <c r="H64" s="0" t="str">
        <f aca="false">"292-303"</f>
        <v>292-303</v>
      </c>
      <c r="I64" s="0" t="s">
        <v>9</v>
      </c>
      <c r="J64" s="0" t="str">
        <f aca="false">"269-280"</f>
        <v>269-280</v>
      </c>
      <c r="K64" s="0" t="str">
        <f aca="false">"0.98"</f>
        <v>0.98</v>
      </c>
      <c r="L64" s="0" t="str">
        <f aca="false">"10.97"</f>
        <v>10.97</v>
      </c>
      <c r="M64" s="0" t="str">
        <f aca="false">"-168.0"</f>
        <v>-168.0</v>
      </c>
    </row>
    <row r="65" customFormat="false" ht="14.65" hidden="false" customHeight="false" outlineLevel="0" collapsed="false">
      <c r="A65" s="0" t="s">
        <v>2204</v>
      </c>
      <c r="B65" s="0" t="s">
        <v>9</v>
      </c>
      <c r="C65" s="0" t="str">
        <f aca="false">"271-282"</f>
        <v>271-282</v>
      </c>
      <c r="D65" s="0" t="s">
        <v>9</v>
      </c>
      <c r="E65" s="0" t="str">
        <f aca="false">"291-302"</f>
        <v>291-302</v>
      </c>
      <c r="F65" s="0" t="s">
        <v>2265</v>
      </c>
      <c r="G65" s="0" t="s">
        <v>9</v>
      </c>
      <c r="H65" s="0" t="str">
        <f aca="false">"88-99"</f>
        <v>88-99</v>
      </c>
      <c r="I65" s="0" t="s">
        <v>9</v>
      </c>
      <c r="J65" s="0" t="str">
        <f aca="false">"66-77"</f>
        <v>66-77</v>
      </c>
      <c r="K65" s="0" t="str">
        <f aca="false">"0.78"</f>
        <v>0.78</v>
      </c>
      <c r="L65" s="0" t="str">
        <f aca="false">"10.52"</f>
        <v>10.52</v>
      </c>
      <c r="M65" s="0" t="str">
        <f aca="false">"-168.3"</f>
        <v>-168.3</v>
      </c>
    </row>
    <row r="66" customFormat="false" ht="14.65" hidden="false" customHeight="false" outlineLevel="0" collapsed="false">
      <c r="A66" s="0" t="s">
        <v>2204</v>
      </c>
      <c r="B66" s="0" t="s">
        <v>9</v>
      </c>
      <c r="C66" s="0" t="str">
        <f aca="false">"271-282"</f>
        <v>271-282</v>
      </c>
      <c r="D66" s="0" t="s">
        <v>9</v>
      </c>
      <c r="E66" s="0" t="str">
        <f aca="false">"291-302"</f>
        <v>291-302</v>
      </c>
      <c r="F66" s="0" t="s">
        <v>1702</v>
      </c>
      <c r="G66" s="0" t="s">
        <v>9</v>
      </c>
      <c r="H66" s="0" t="str">
        <f aca="false">"85-96"</f>
        <v>85-96</v>
      </c>
      <c r="I66" s="0" t="s">
        <v>9</v>
      </c>
      <c r="J66" s="0" t="str">
        <f aca="false">"407-418"</f>
        <v>407-418</v>
      </c>
      <c r="K66" s="0" t="str">
        <f aca="false">"0.98"</f>
        <v>0.98</v>
      </c>
      <c r="L66" s="0" t="str">
        <f aca="false">"10.08"</f>
        <v>10.08</v>
      </c>
      <c r="M66" s="0" t="str">
        <f aca="false">"-168.3"</f>
        <v>-168.3</v>
      </c>
    </row>
    <row r="67" customFormat="false" ht="14.65" hidden="false" customHeight="false" outlineLevel="0" collapsed="false">
      <c r="A67" s="0" t="s">
        <v>2204</v>
      </c>
      <c r="B67" s="0" t="s">
        <v>9</v>
      </c>
      <c r="C67" s="0" t="str">
        <f aca="false">"271-282"</f>
        <v>271-282</v>
      </c>
      <c r="D67" s="0" t="s">
        <v>9</v>
      </c>
      <c r="E67" s="0" t="str">
        <f aca="false">"291-302"</f>
        <v>291-302</v>
      </c>
      <c r="F67" s="0" t="s">
        <v>1751</v>
      </c>
      <c r="G67" s="0" t="s">
        <v>9</v>
      </c>
      <c r="H67" s="0" t="str">
        <f aca="false">"150-161"</f>
        <v>150-161</v>
      </c>
      <c r="I67" s="0" t="s">
        <v>9</v>
      </c>
      <c r="J67" s="0" t="str">
        <f aca="false">"27-38"</f>
        <v>27-38</v>
      </c>
      <c r="K67" s="0" t="str">
        <f aca="false">"1.05"</f>
        <v>1.05</v>
      </c>
      <c r="L67" s="0" t="str">
        <f aca="false">"11.02"</f>
        <v>11.02</v>
      </c>
      <c r="M67" s="0" t="str">
        <f aca="false">"-168.6"</f>
        <v>-168.6</v>
      </c>
    </row>
    <row r="68" customFormat="false" ht="14.65" hidden="false" customHeight="false" outlineLevel="0" collapsed="false">
      <c r="A68" s="0" t="s">
        <v>2204</v>
      </c>
      <c r="B68" s="0" t="s">
        <v>9</v>
      </c>
      <c r="C68" s="0" t="str">
        <f aca="false">"271-282"</f>
        <v>271-282</v>
      </c>
      <c r="D68" s="0" t="s">
        <v>9</v>
      </c>
      <c r="E68" s="0" t="str">
        <f aca="false">"291-302"</f>
        <v>291-302</v>
      </c>
      <c r="F68" s="0" t="s">
        <v>15</v>
      </c>
      <c r="G68" s="0" t="s">
        <v>9</v>
      </c>
      <c r="H68" s="0" t="str">
        <f aca="false">"104-115"</f>
        <v>104-115</v>
      </c>
      <c r="I68" s="0" t="s">
        <v>9</v>
      </c>
      <c r="J68" s="0" t="str">
        <f aca="false">"140-151"</f>
        <v>140-151</v>
      </c>
      <c r="K68" s="0" t="str">
        <f aca="false">"1.11"</f>
        <v>1.11</v>
      </c>
      <c r="L68" s="0" t="str">
        <f aca="false">"9.76"</f>
        <v>9.76</v>
      </c>
      <c r="M68" s="0" t="str">
        <f aca="false">"-168.9"</f>
        <v>-168.9</v>
      </c>
    </row>
    <row r="69" customFormat="false" ht="14.65" hidden="false" customHeight="false" outlineLevel="0" collapsed="false">
      <c r="A69" s="0" t="s">
        <v>2204</v>
      </c>
      <c r="B69" s="0" t="s">
        <v>9</v>
      </c>
      <c r="C69" s="0" t="str">
        <f aca="false">"271-282"</f>
        <v>271-282</v>
      </c>
      <c r="D69" s="0" t="s">
        <v>9</v>
      </c>
      <c r="E69" s="0" t="str">
        <f aca="false">"291-302"</f>
        <v>291-302</v>
      </c>
      <c r="F69" s="0" t="s">
        <v>2266</v>
      </c>
      <c r="G69" s="0" t="s">
        <v>9</v>
      </c>
      <c r="H69" s="0" t="str">
        <f aca="false">"131-142"</f>
        <v>131-142</v>
      </c>
      <c r="I69" s="0" t="s">
        <v>9</v>
      </c>
      <c r="J69" s="0" t="str">
        <f aca="false">"40-51"</f>
        <v>40-51</v>
      </c>
      <c r="K69" s="0" t="str">
        <f aca="false">"0.87"</f>
        <v>0.87</v>
      </c>
      <c r="L69" s="0" t="str">
        <f aca="false">"12.65"</f>
        <v>12.65</v>
      </c>
      <c r="M69" s="0" t="str">
        <f aca="false">"-168.9"</f>
        <v>-168.9</v>
      </c>
    </row>
    <row r="70" customFormat="false" ht="14.65" hidden="false" customHeight="false" outlineLevel="0" collapsed="false">
      <c r="A70" s="0" t="s">
        <v>2204</v>
      </c>
      <c r="B70" s="0" t="s">
        <v>9</v>
      </c>
      <c r="C70" s="0" t="str">
        <f aca="false">"267-278"</f>
        <v>267-278</v>
      </c>
      <c r="D70" s="0" t="s">
        <v>9</v>
      </c>
      <c r="E70" s="0" t="str">
        <f aca="false">"292-303"</f>
        <v>292-303</v>
      </c>
      <c r="F70" s="0" t="s">
        <v>2267</v>
      </c>
      <c r="G70" s="0" t="s">
        <v>9</v>
      </c>
      <c r="H70" s="0" t="str">
        <f aca="false">"264-275"</f>
        <v>264-275</v>
      </c>
      <c r="I70" s="0" t="s">
        <v>9</v>
      </c>
      <c r="J70" s="0" t="str">
        <f aca="false">"106-117"</f>
        <v>106-117</v>
      </c>
      <c r="K70" s="0" t="str">
        <f aca="false">"1.23"</f>
        <v>1.23</v>
      </c>
      <c r="L70" s="0" t="str">
        <f aca="false">"13.91"</f>
        <v>13.91</v>
      </c>
      <c r="M70" s="0" t="str">
        <f aca="false">"-168.9"</f>
        <v>-168.9</v>
      </c>
    </row>
    <row r="71" customFormat="false" ht="14.65" hidden="false" customHeight="false" outlineLevel="0" collapsed="false">
      <c r="A71" s="0" t="s">
        <v>2204</v>
      </c>
      <c r="B71" s="0" t="s">
        <v>9</v>
      </c>
      <c r="C71" s="0" t="str">
        <f aca="false">"267-278"</f>
        <v>267-278</v>
      </c>
      <c r="D71" s="0" t="s">
        <v>9</v>
      </c>
      <c r="E71" s="0" t="str">
        <f aca="false">"292-303"</f>
        <v>292-303</v>
      </c>
      <c r="F71" s="0" t="s">
        <v>2268</v>
      </c>
      <c r="G71" s="0" t="s">
        <v>9</v>
      </c>
      <c r="H71" s="0" t="str">
        <f aca="false">"348-359"</f>
        <v>348-359</v>
      </c>
      <c r="I71" s="0" t="s">
        <v>9</v>
      </c>
      <c r="J71" s="0" t="str">
        <f aca="false">"369-380"</f>
        <v>369-380</v>
      </c>
      <c r="K71" s="0" t="str">
        <f aca="false">"1.11"</f>
        <v>1.11</v>
      </c>
      <c r="L71" s="0" t="str">
        <f aca="false">"11.53"</f>
        <v>11.53</v>
      </c>
      <c r="M71" s="0" t="str">
        <f aca="false">"-169.2"</f>
        <v>-169.2</v>
      </c>
    </row>
    <row r="72" customFormat="false" ht="14.65" hidden="false" customHeight="false" outlineLevel="0" collapsed="false">
      <c r="A72" s="0" t="s">
        <v>2204</v>
      </c>
      <c r="B72" s="0" t="s">
        <v>9</v>
      </c>
      <c r="C72" s="0" t="str">
        <f aca="false">"271-282"</f>
        <v>271-282</v>
      </c>
      <c r="D72" s="0" t="s">
        <v>9</v>
      </c>
      <c r="E72" s="0" t="str">
        <f aca="false">"291-302"</f>
        <v>291-302</v>
      </c>
      <c r="F72" s="0" t="s">
        <v>2269</v>
      </c>
      <c r="G72" s="0" t="s">
        <v>70</v>
      </c>
      <c r="H72" s="0" t="str">
        <f aca="false">"101-112"</f>
        <v>101-112</v>
      </c>
      <c r="I72" s="0" t="s">
        <v>70</v>
      </c>
      <c r="J72" s="0" t="str">
        <f aca="false">"12-23"</f>
        <v>12-23</v>
      </c>
      <c r="K72" s="0" t="str">
        <f aca="false">"0.83"</f>
        <v>0.83</v>
      </c>
      <c r="L72" s="0" t="str">
        <f aca="false">"12.03"</f>
        <v>12.03</v>
      </c>
      <c r="M72" s="0" t="str">
        <f aca="false">"-169.2"</f>
        <v>-169.2</v>
      </c>
    </row>
    <row r="73" customFormat="false" ht="14.65" hidden="false" customHeight="false" outlineLevel="0" collapsed="false">
      <c r="A73" s="0" t="s">
        <v>2204</v>
      </c>
      <c r="B73" s="0" t="s">
        <v>9</v>
      </c>
      <c r="C73" s="0" t="str">
        <f aca="false">"270-281"</f>
        <v>270-281</v>
      </c>
      <c r="D73" s="0" t="s">
        <v>9</v>
      </c>
      <c r="E73" s="0" t="str">
        <f aca="false">"291-302"</f>
        <v>291-302</v>
      </c>
      <c r="F73" s="0" t="s">
        <v>2270</v>
      </c>
      <c r="G73" s="0" t="s">
        <v>13</v>
      </c>
      <c r="H73" s="0" t="str">
        <f aca="false">"137-148"</f>
        <v>137-148</v>
      </c>
      <c r="I73" s="0" t="s">
        <v>13</v>
      </c>
      <c r="J73" s="0" t="str">
        <f aca="false">"36-47"</f>
        <v>36-47</v>
      </c>
      <c r="K73" s="0" t="str">
        <f aca="false">"1.01"</f>
        <v>1.01</v>
      </c>
      <c r="L73" s="0" t="str">
        <f aca="false">"11.85"</f>
        <v>11.85</v>
      </c>
      <c r="M73" s="0" t="str">
        <f aca="false">"-169.3"</f>
        <v>-169.3</v>
      </c>
    </row>
    <row r="74" customFormat="false" ht="14.65" hidden="false" customHeight="false" outlineLevel="0" collapsed="false">
      <c r="A74" s="0" t="s">
        <v>2204</v>
      </c>
      <c r="B74" s="0" t="s">
        <v>9</v>
      </c>
      <c r="C74" s="0" t="str">
        <f aca="false">"267-278"</f>
        <v>267-278</v>
      </c>
      <c r="D74" s="0" t="s">
        <v>9</v>
      </c>
      <c r="E74" s="0" t="str">
        <f aca="false">"293-304"</f>
        <v>293-304</v>
      </c>
      <c r="F74" s="0" t="s">
        <v>2213</v>
      </c>
      <c r="G74" s="0" t="s">
        <v>9</v>
      </c>
      <c r="H74" s="0" t="str">
        <f aca="false">"263-274"</f>
        <v>263-274</v>
      </c>
      <c r="I74" s="0" t="s">
        <v>9</v>
      </c>
      <c r="J74" s="0" t="str">
        <f aca="false">"281-292"</f>
        <v>281-292</v>
      </c>
      <c r="K74" s="0" t="str">
        <f aca="false">"1.13"</f>
        <v>1.13</v>
      </c>
      <c r="L74" s="0" t="str">
        <f aca="false">"10.64"</f>
        <v>10.64</v>
      </c>
      <c r="M74" s="0" t="str">
        <f aca="false">"-169.3"</f>
        <v>-169.3</v>
      </c>
    </row>
    <row r="75" customFormat="false" ht="14.65" hidden="false" customHeight="false" outlineLevel="0" collapsed="false">
      <c r="A75" s="0" t="s">
        <v>2204</v>
      </c>
      <c r="B75" s="0" t="s">
        <v>9</v>
      </c>
      <c r="C75" s="0" t="str">
        <f aca="false">"271-282"</f>
        <v>271-282</v>
      </c>
      <c r="D75" s="0" t="s">
        <v>9</v>
      </c>
      <c r="E75" s="0" t="str">
        <f aca="false">"291-302"</f>
        <v>291-302</v>
      </c>
      <c r="F75" s="0" t="s">
        <v>1768</v>
      </c>
      <c r="G75" s="0" t="s">
        <v>9</v>
      </c>
      <c r="H75" s="0" t="str">
        <f aca="false">"60-71"</f>
        <v>60-71</v>
      </c>
      <c r="I75" s="0" t="s">
        <v>9</v>
      </c>
      <c r="J75" s="0" t="str">
        <f aca="false">"92-103"</f>
        <v>92-103</v>
      </c>
      <c r="K75" s="0" t="str">
        <f aca="false">"0.95"</f>
        <v>0.95</v>
      </c>
      <c r="L75" s="0" t="str">
        <f aca="false">"11.80"</f>
        <v>11.80</v>
      </c>
      <c r="M75" s="0" t="str">
        <f aca="false">"-169.4"</f>
        <v>-169.4</v>
      </c>
    </row>
    <row r="76" customFormat="false" ht="14.65" hidden="false" customHeight="false" outlineLevel="0" collapsed="false">
      <c r="A76" s="0" t="s">
        <v>2204</v>
      </c>
      <c r="B76" s="0" t="s">
        <v>9</v>
      </c>
      <c r="C76" s="0" t="str">
        <f aca="false">"271-282"</f>
        <v>271-282</v>
      </c>
      <c r="D76" s="0" t="s">
        <v>9</v>
      </c>
      <c r="E76" s="0" t="str">
        <f aca="false">"291-302"</f>
        <v>291-302</v>
      </c>
      <c r="F76" s="0" t="s">
        <v>1505</v>
      </c>
      <c r="G76" s="0" t="s">
        <v>9</v>
      </c>
      <c r="H76" s="0" t="str">
        <f aca="false">"184-195"</f>
        <v>184-195</v>
      </c>
      <c r="I76" s="0" t="s">
        <v>9</v>
      </c>
      <c r="J76" s="0" t="str">
        <f aca="false">"94-105"</f>
        <v>94-105</v>
      </c>
      <c r="K76" s="0" t="str">
        <f aca="false">"1.15"</f>
        <v>1.15</v>
      </c>
      <c r="L76" s="0" t="str">
        <f aca="false">"9.99"</f>
        <v>9.99</v>
      </c>
      <c r="M76" s="0" t="str">
        <f aca="false">"-169.5"</f>
        <v>-169.5</v>
      </c>
    </row>
    <row r="77" customFormat="false" ht="14.65" hidden="false" customHeight="false" outlineLevel="0" collapsed="false">
      <c r="A77" s="0" t="s">
        <v>2204</v>
      </c>
      <c r="B77" s="0" t="s">
        <v>9</v>
      </c>
      <c r="C77" s="0" t="str">
        <f aca="false">"271-282"</f>
        <v>271-282</v>
      </c>
      <c r="D77" s="0" t="s">
        <v>9</v>
      </c>
      <c r="E77" s="0" t="str">
        <f aca="false">"291-302"</f>
        <v>291-302</v>
      </c>
      <c r="F77" s="0" t="s">
        <v>2271</v>
      </c>
      <c r="G77" s="0" t="s">
        <v>9</v>
      </c>
      <c r="H77" s="0" t="str">
        <f aca="false">"79-90"</f>
        <v>79-90</v>
      </c>
      <c r="I77" s="0" t="s">
        <v>9</v>
      </c>
      <c r="J77" s="0" t="str">
        <f aca="false">"129-140"</f>
        <v>129-140</v>
      </c>
      <c r="K77" s="0" t="str">
        <f aca="false">"0.92"</f>
        <v>0.92</v>
      </c>
      <c r="L77" s="0" t="str">
        <f aca="false">"11.27"</f>
        <v>11.27</v>
      </c>
      <c r="M77" s="0" t="str">
        <f aca="false">"-169.7"</f>
        <v>-169.7</v>
      </c>
    </row>
    <row r="78" customFormat="false" ht="14.65" hidden="false" customHeight="false" outlineLevel="0" collapsed="false">
      <c r="A78" s="0" t="s">
        <v>2204</v>
      </c>
      <c r="B78" s="0" t="s">
        <v>9</v>
      </c>
      <c r="C78" s="0" t="str">
        <f aca="false">"270-281"</f>
        <v>270-281</v>
      </c>
      <c r="D78" s="0" t="s">
        <v>9</v>
      </c>
      <c r="E78" s="0" t="str">
        <f aca="false">"291-302"</f>
        <v>291-302</v>
      </c>
      <c r="F78" s="0" t="s">
        <v>2272</v>
      </c>
      <c r="G78" s="0" t="s">
        <v>9</v>
      </c>
      <c r="H78" s="0" t="str">
        <f aca="false">"90-101"</f>
        <v>90-101</v>
      </c>
      <c r="I78" s="0" t="s">
        <v>9</v>
      </c>
      <c r="J78" s="0" t="str">
        <f aca="false">"123-134"</f>
        <v>123-134</v>
      </c>
      <c r="K78" s="0" t="str">
        <f aca="false">"0.89"</f>
        <v>0.89</v>
      </c>
      <c r="L78" s="0" t="str">
        <f aca="false">"12.14"</f>
        <v>12.14</v>
      </c>
      <c r="M78" s="0" t="str">
        <f aca="false">"-170.1"</f>
        <v>-170.1</v>
      </c>
    </row>
    <row r="79" customFormat="false" ht="14.65" hidden="false" customHeight="false" outlineLevel="0" collapsed="false">
      <c r="A79" s="0" t="s">
        <v>2204</v>
      </c>
      <c r="B79" s="0" t="s">
        <v>9</v>
      </c>
      <c r="C79" s="0" t="str">
        <f aca="false">"271-282"</f>
        <v>271-282</v>
      </c>
      <c r="D79" s="0" t="s">
        <v>9</v>
      </c>
      <c r="E79" s="0" t="str">
        <f aca="false">"291-302"</f>
        <v>291-302</v>
      </c>
      <c r="F79" s="0" t="s">
        <v>2273</v>
      </c>
      <c r="G79" s="0" t="s">
        <v>120</v>
      </c>
      <c r="H79" s="0" t="str">
        <f aca="false">"13-24"</f>
        <v>13-24</v>
      </c>
      <c r="I79" s="0" t="s">
        <v>120</v>
      </c>
      <c r="J79" s="0" t="str">
        <f aca="false">"89-100"</f>
        <v>89-100</v>
      </c>
      <c r="K79" s="0" t="str">
        <f aca="false">"1.11"</f>
        <v>1.11</v>
      </c>
      <c r="L79" s="0" t="str">
        <f aca="false">"12.18"</f>
        <v>12.18</v>
      </c>
      <c r="M79" s="0" t="str">
        <f aca="false">"-170.2"</f>
        <v>-170.2</v>
      </c>
    </row>
    <row r="80" customFormat="false" ht="14.65" hidden="false" customHeight="false" outlineLevel="0" collapsed="false">
      <c r="A80" s="0" t="s">
        <v>2204</v>
      </c>
      <c r="B80" s="0" t="s">
        <v>9</v>
      </c>
      <c r="C80" s="0" t="str">
        <f aca="false">"268-279"</f>
        <v>268-279</v>
      </c>
      <c r="D80" s="0" t="s">
        <v>9</v>
      </c>
      <c r="E80" s="0" t="str">
        <f aca="false">"291-302"</f>
        <v>291-302</v>
      </c>
      <c r="F80" s="0" t="s">
        <v>2274</v>
      </c>
      <c r="G80" s="0" t="s">
        <v>9</v>
      </c>
      <c r="H80" s="0" t="str">
        <f aca="false">"141-152"</f>
        <v>141-152</v>
      </c>
      <c r="I80" s="0" t="s">
        <v>9</v>
      </c>
      <c r="J80" s="0" t="str">
        <f aca="false">"246-257"</f>
        <v>246-257</v>
      </c>
      <c r="K80" s="0" t="str">
        <f aca="false">"0.96"</f>
        <v>0.96</v>
      </c>
      <c r="L80" s="0" t="str">
        <f aca="false">"11.80"</f>
        <v>11.80</v>
      </c>
      <c r="M80" s="0" t="str">
        <f aca="false">"-170.2"</f>
        <v>-170.2</v>
      </c>
    </row>
    <row r="81" customFormat="false" ht="14.65" hidden="false" customHeight="false" outlineLevel="0" collapsed="false">
      <c r="A81" s="0" t="s">
        <v>2204</v>
      </c>
      <c r="B81" s="0" t="s">
        <v>9</v>
      </c>
      <c r="C81" s="0" t="str">
        <f aca="false">"271-282"</f>
        <v>271-282</v>
      </c>
      <c r="D81" s="0" t="s">
        <v>9</v>
      </c>
      <c r="E81" s="0" t="str">
        <f aca="false">"291-302"</f>
        <v>291-302</v>
      </c>
      <c r="F81" s="0" t="s">
        <v>2223</v>
      </c>
      <c r="G81" s="0" t="s">
        <v>9</v>
      </c>
      <c r="H81" s="0" t="str">
        <f aca="false">"219-230"</f>
        <v>219-230</v>
      </c>
      <c r="I81" s="0" t="s">
        <v>9</v>
      </c>
      <c r="J81" s="0" t="str">
        <f aca="false">"163-174"</f>
        <v>163-174</v>
      </c>
      <c r="K81" s="0" t="str">
        <f aca="false">"1.19"</f>
        <v>1.19</v>
      </c>
      <c r="L81" s="0" t="str">
        <f aca="false">"10.79"</f>
        <v>10.79</v>
      </c>
      <c r="M81" s="0" t="str">
        <f aca="false">"-170.3"</f>
        <v>-170.3</v>
      </c>
    </row>
    <row r="82" customFormat="false" ht="14.65" hidden="false" customHeight="false" outlineLevel="0" collapsed="false">
      <c r="A82" s="0" t="s">
        <v>2204</v>
      </c>
      <c r="B82" s="0" t="s">
        <v>9</v>
      </c>
      <c r="C82" s="0" t="str">
        <f aca="false">"271-282"</f>
        <v>271-282</v>
      </c>
      <c r="D82" s="0" t="s">
        <v>9</v>
      </c>
      <c r="E82" s="0" t="str">
        <f aca="false">"291-302"</f>
        <v>291-302</v>
      </c>
      <c r="F82" s="0" t="s">
        <v>2275</v>
      </c>
      <c r="G82" s="0" t="s">
        <v>9</v>
      </c>
      <c r="H82" s="0" t="str">
        <f aca="false">"63-74"</f>
        <v>63-74</v>
      </c>
      <c r="I82" s="0" t="s">
        <v>9</v>
      </c>
      <c r="J82" s="0" t="str">
        <f aca="false">"164-175"</f>
        <v>164-175</v>
      </c>
      <c r="K82" s="0" t="str">
        <f aca="false">"1.10"</f>
        <v>1.10</v>
      </c>
      <c r="L82" s="0" t="str">
        <f aca="false">"11.68"</f>
        <v>11.68</v>
      </c>
      <c r="M82" s="0" t="str">
        <f aca="false">"-170.3"</f>
        <v>-170.3</v>
      </c>
    </row>
    <row r="83" customFormat="false" ht="14.65" hidden="false" customHeight="false" outlineLevel="0" collapsed="false">
      <c r="A83" s="0" t="s">
        <v>2204</v>
      </c>
      <c r="B83" s="0" t="s">
        <v>9</v>
      </c>
      <c r="C83" s="0" t="str">
        <f aca="false">"269-280"</f>
        <v>269-280</v>
      </c>
      <c r="D83" s="0" t="s">
        <v>9</v>
      </c>
      <c r="E83" s="0" t="str">
        <f aca="false">"291-302"</f>
        <v>291-302</v>
      </c>
      <c r="F83" s="0" t="s">
        <v>2276</v>
      </c>
      <c r="G83" s="0" t="s">
        <v>9</v>
      </c>
      <c r="H83" s="0" t="str">
        <f aca="false">"84-95"</f>
        <v>84-95</v>
      </c>
      <c r="I83" s="0" t="s">
        <v>9</v>
      </c>
      <c r="J83" s="0" t="str">
        <f aca="false">"146-157"</f>
        <v>146-157</v>
      </c>
      <c r="K83" s="0" t="str">
        <f aca="false">"0.97"</f>
        <v>0.97</v>
      </c>
      <c r="L83" s="0" t="str">
        <f aca="false">"11.54"</f>
        <v>11.54</v>
      </c>
      <c r="M83" s="0" t="str">
        <f aca="false">"-170.5"</f>
        <v>-170.5</v>
      </c>
    </row>
    <row r="84" customFormat="false" ht="14.65" hidden="false" customHeight="false" outlineLevel="0" collapsed="false">
      <c r="A84" s="0" t="s">
        <v>2204</v>
      </c>
      <c r="B84" s="0" t="s">
        <v>9</v>
      </c>
      <c r="C84" s="0" t="str">
        <f aca="false">"271-282"</f>
        <v>271-282</v>
      </c>
      <c r="D84" s="0" t="s">
        <v>9</v>
      </c>
      <c r="E84" s="0" t="str">
        <f aca="false">"291-302"</f>
        <v>291-302</v>
      </c>
      <c r="F84" s="0" t="s">
        <v>554</v>
      </c>
      <c r="G84" s="0" t="s">
        <v>9</v>
      </c>
      <c r="H84" s="0" t="str">
        <f aca="false">"24-35"</f>
        <v>24-35</v>
      </c>
      <c r="I84" s="0" t="s">
        <v>9</v>
      </c>
      <c r="J84" s="0" t="str">
        <f aca="false">"119-130"</f>
        <v>119-130</v>
      </c>
      <c r="K84" s="0" t="str">
        <f aca="false">"0.73"</f>
        <v>0.73</v>
      </c>
      <c r="L84" s="0" t="str">
        <f aca="false">"10.74"</f>
        <v>10.74</v>
      </c>
      <c r="M84" s="0" t="str">
        <f aca="false">"-170.6"</f>
        <v>-170.6</v>
      </c>
    </row>
    <row r="85" customFormat="false" ht="14.65" hidden="false" customHeight="false" outlineLevel="0" collapsed="false">
      <c r="A85" s="0" t="s">
        <v>2204</v>
      </c>
      <c r="B85" s="0" t="s">
        <v>9</v>
      </c>
      <c r="C85" s="0" t="str">
        <f aca="false">"271-282"</f>
        <v>271-282</v>
      </c>
      <c r="D85" s="0" t="s">
        <v>9</v>
      </c>
      <c r="E85" s="0" t="str">
        <f aca="false">"291-302"</f>
        <v>291-302</v>
      </c>
      <c r="F85" s="0" t="s">
        <v>2277</v>
      </c>
      <c r="G85" s="0" t="s">
        <v>13</v>
      </c>
      <c r="H85" s="0" t="str">
        <f aca="false">"139-150"</f>
        <v>139-150</v>
      </c>
      <c r="I85" s="0" t="s">
        <v>13</v>
      </c>
      <c r="J85" s="0" t="str">
        <f aca="false">"52-63"</f>
        <v>52-63</v>
      </c>
      <c r="K85" s="0" t="str">
        <f aca="false">"1.20"</f>
        <v>1.20</v>
      </c>
      <c r="L85" s="0" t="str">
        <f aca="false">"11.09"</f>
        <v>11.09</v>
      </c>
      <c r="M85" s="0" t="str">
        <f aca="false">"-170.7"</f>
        <v>-170.7</v>
      </c>
    </row>
    <row r="86" customFormat="false" ht="14.65" hidden="false" customHeight="false" outlineLevel="0" collapsed="false">
      <c r="A86" s="0" t="s">
        <v>2204</v>
      </c>
      <c r="B86" s="0" t="s">
        <v>9</v>
      </c>
      <c r="C86" s="0" t="str">
        <f aca="false">"271-282"</f>
        <v>271-282</v>
      </c>
      <c r="D86" s="0" t="s">
        <v>9</v>
      </c>
      <c r="E86" s="0" t="str">
        <f aca="false">"291-302"</f>
        <v>291-302</v>
      </c>
      <c r="F86" s="0" t="s">
        <v>183</v>
      </c>
      <c r="G86" s="0" t="s">
        <v>9</v>
      </c>
      <c r="H86" s="0" t="str">
        <f aca="false">"36-47"</f>
        <v>36-47</v>
      </c>
      <c r="I86" s="0" t="s">
        <v>13</v>
      </c>
      <c r="J86" s="0" t="str">
        <f aca="false">"21-32"</f>
        <v>21-32</v>
      </c>
      <c r="K86" s="0" t="str">
        <f aca="false">"1.22"</f>
        <v>1.22</v>
      </c>
      <c r="L86" s="0" t="str">
        <f aca="false">"10.98"</f>
        <v>10.98</v>
      </c>
      <c r="M86" s="0" t="str">
        <f aca="false">"-170.8"</f>
        <v>-170.8</v>
      </c>
    </row>
    <row r="87" customFormat="false" ht="14.65" hidden="false" customHeight="false" outlineLevel="0" collapsed="false">
      <c r="A87" s="0" t="s">
        <v>2204</v>
      </c>
      <c r="B87" s="0" t="s">
        <v>9</v>
      </c>
      <c r="C87" s="0" t="str">
        <f aca="false">"271-282"</f>
        <v>271-282</v>
      </c>
      <c r="D87" s="0" t="s">
        <v>9</v>
      </c>
      <c r="E87" s="0" t="str">
        <f aca="false">"293-304"</f>
        <v>293-304</v>
      </c>
      <c r="F87" s="0" t="s">
        <v>2278</v>
      </c>
      <c r="G87" s="0" t="s">
        <v>13</v>
      </c>
      <c r="H87" s="0" t="str">
        <f aca="false">"322-333"</f>
        <v>322-333</v>
      </c>
      <c r="I87" s="0" t="s">
        <v>13</v>
      </c>
      <c r="J87" s="0" t="str">
        <f aca="false">"342-353"</f>
        <v>342-353</v>
      </c>
      <c r="K87" s="0" t="str">
        <f aca="false">"1.08"</f>
        <v>1.08</v>
      </c>
      <c r="L87" s="0" t="str">
        <f aca="false">"12.49"</f>
        <v>12.49</v>
      </c>
      <c r="M87" s="0" t="str">
        <f aca="false">"-170.9"</f>
        <v>-170.9</v>
      </c>
    </row>
    <row r="88" customFormat="false" ht="14.65" hidden="false" customHeight="false" outlineLevel="0" collapsed="false">
      <c r="A88" s="0" t="s">
        <v>2204</v>
      </c>
      <c r="B88" s="0" t="s">
        <v>9</v>
      </c>
      <c r="C88" s="0" t="str">
        <f aca="false">"271-282"</f>
        <v>271-282</v>
      </c>
      <c r="D88" s="0" t="s">
        <v>9</v>
      </c>
      <c r="E88" s="0" t="str">
        <f aca="false">"291-302"</f>
        <v>291-302</v>
      </c>
      <c r="F88" s="0" t="s">
        <v>2279</v>
      </c>
      <c r="G88" s="0" t="s">
        <v>9</v>
      </c>
      <c r="H88" s="0" t="str">
        <f aca="false">"127-138"</f>
        <v>127-138</v>
      </c>
      <c r="I88" s="0" t="s">
        <v>9</v>
      </c>
      <c r="J88" s="0" t="str">
        <f aca="false">"42-53"</f>
        <v>42-53</v>
      </c>
      <c r="K88" s="0" t="str">
        <f aca="false">"0.88"</f>
        <v>0.88</v>
      </c>
      <c r="L88" s="0" t="str">
        <f aca="false">"11.46"</f>
        <v>11.46</v>
      </c>
      <c r="M88" s="0" t="str">
        <f aca="false">"-171.0"</f>
        <v>-171.0</v>
      </c>
    </row>
    <row r="89" customFormat="false" ht="14.65" hidden="false" customHeight="false" outlineLevel="0" collapsed="false">
      <c r="A89" s="0" t="s">
        <v>2204</v>
      </c>
      <c r="B89" s="0" t="s">
        <v>9</v>
      </c>
      <c r="C89" s="0" t="str">
        <f aca="false">"271-282"</f>
        <v>271-282</v>
      </c>
      <c r="D89" s="0" t="s">
        <v>9</v>
      </c>
      <c r="E89" s="0" t="str">
        <f aca="false">"291-302"</f>
        <v>291-302</v>
      </c>
      <c r="F89" s="0" t="s">
        <v>1508</v>
      </c>
      <c r="G89" s="0" t="s">
        <v>120</v>
      </c>
      <c r="H89" s="0" t="str">
        <f aca="false">"38-49"</f>
        <v>38-49</v>
      </c>
      <c r="I89" s="0" t="s">
        <v>120</v>
      </c>
      <c r="J89" s="0" t="str">
        <f aca="false">"65-76"</f>
        <v>65-76</v>
      </c>
      <c r="K89" s="0" t="str">
        <f aca="false">"1.07"</f>
        <v>1.07</v>
      </c>
      <c r="L89" s="0" t="str">
        <f aca="false">"9.95"</f>
        <v>9.95</v>
      </c>
      <c r="M89" s="0" t="str">
        <f aca="false">"-171.3"</f>
        <v>-171.3</v>
      </c>
    </row>
    <row r="90" customFormat="false" ht="14.65" hidden="false" customHeight="false" outlineLevel="0" collapsed="false">
      <c r="A90" s="0" t="s">
        <v>2204</v>
      </c>
      <c r="B90" s="0" t="s">
        <v>9</v>
      </c>
      <c r="C90" s="0" t="str">
        <f aca="false">"271-282"</f>
        <v>271-282</v>
      </c>
      <c r="D90" s="0" t="s">
        <v>9</v>
      </c>
      <c r="E90" s="0" t="str">
        <f aca="false">"291-302"</f>
        <v>291-302</v>
      </c>
      <c r="F90" s="0" t="s">
        <v>2280</v>
      </c>
      <c r="G90" s="0" t="s">
        <v>9</v>
      </c>
      <c r="H90" s="0" t="str">
        <f aca="false">"19-30"</f>
        <v>19-30</v>
      </c>
      <c r="I90" s="0" t="s">
        <v>9</v>
      </c>
      <c r="J90" s="0" t="str">
        <f aca="false">"98-109"</f>
        <v>98-109</v>
      </c>
      <c r="K90" s="0" t="str">
        <f aca="false">"1.06"</f>
        <v>1.06</v>
      </c>
      <c r="L90" s="0" t="str">
        <f aca="false">"11.26"</f>
        <v>11.26</v>
      </c>
      <c r="M90" s="0" t="str">
        <f aca="false">"-171.7"</f>
        <v>-171.7</v>
      </c>
    </row>
    <row r="91" customFormat="false" ht="14.65" hidden="false" customHeight="false" outlineLevel="0" collapsed="false">
      <c r="A91" s="0" t="s">
        <v>2204</v>
      </c>
      <c r="B91" s="0" t="s">
        <v>9</v>
      </c>
      <c r="C91" s="0" t="str">
        <f aca="false">"271-282"</f>
        <v>271-282</v>
      </c>
      <c r="D91" s="0" t="s">
        <v>9</v>
      </c>
      <c r="E91" s="0" t="str">
        <f aca="false">"291-302"</f>
        <v>291-302</v>
      </c>
      <c r="F91" s="0" t="s">
        <v>2216</v>
      </c>
      <c r="G91" s="0" t="s">
        <v>120</v>
      </c>
      <c r="H91" s="0" t="str">
        <f aca="false">"620-631"</f>
        <v>620-631</v>
      </c>
      <c r="I91" s="0" t="s">
        <v>120</v>
      </c>
      <c r="J91" s="0" t="str">
        <f aca="false">"561-572"</f>
        <v>561-572</v>
      </c>
      <c r="K91" s="0" t="str">
        <f aca="false">"1.02"</f>
        <v>1.02</v>
      </c>
      <c r="L91" s="0" t="str">
        <f aca="false">"10.66"</f>
        <v>10.66</v>
      </c>
      <c r="M91" s="0" t="str">
        <f aca="false">"-171.8"</f>
        <v>-171.8</v>
      </c>
    </row>
    <row r="92" customFormat="false" ht="14.65" hidden="false" customHeight="false" outlineLevel="0" collapsed="false">
      <c r="A92" s="0" t="s">
        <v>2204</v>
      </c>
      <c r="B92" s="0" t="s">
        <v>9</v>
      </c>
      <c r="C92" s="0" t="str">
        <f aca="false">"271-282"</f>
        <v>271-282</v>
      </c>
      <c r="D92" s="0" t="s">
        <v>9</v>
      </c>
      <c r="E92" s="0" t="str">
        <f aca="false">"291-302"</f>
        <v>291-302</v>
      </c>
      <c r="F92" s="0" t="s">
        <v>2281</v>
      </c>
      <c r="G92" s="0" t="s">
        <v>9</v>
      </c>
      <c r="H92" s="0" t="str">
        <f aca="false">"1241-1252"</f>
        <v>1241-1252</v>
      </c>
      <c r="I92" s="0" t="s">
        <v>9</v>
      </c>
      <c r="J92" s="0" t="str">
        <f aca="false">"1365-1376"</f>
        <v>1365-1376</v>
      </c>
      <c r="K92" s="0" t="str">
        <f aca="false">"0.94"</f>
        <v>0.94</v>
      </c>
      <c r="L92" s="0" t="str">
        <f aca="false">"11.66"</f>
        <v>11.66</v>
      </c>
      <c r="M92" s="0" t="str">
        <f aca="false">"-172.0"</f>
        <v>-172.0</v>
      </c>
    </row>
    <row r="93" customFormat="false" ht="14.65" hidden="false" customHeight="false" outlineLevel="0" collapsed="false">
      <c r="A93" s="0" t="s">
        <v>2204</v>
      </c>
      <c r="B93" s="0" t="s">
        <v>9</v>
      </c>
      <c r="C93" s="0" t="str">
        <f aca="false">"271-282"</f>
        <v>271-282</v>
      </c>
      <c r="D93" s="0" t="s">
        <v>9</v>
      </c>
      <c r="E93" s="0" t="str">
        <f aca="false">"291-302"</f>
        <v>291-302</v>
      </c>
      <c r="F93" s="0" t="s">
        <v>1701</v>
      </c>
      <c r="G93" s="0" t="s">
        <v>9</v>
      </c>
      <c r="H93" s="0" t="str">
        <f aca="false">"277-288"</f>
        <v>277-288</v>
      </c>
      <c r="I93" s="0" t="s">
        <v>9</v>
      </c>
      <c r="J93" s="0" t="str">
        <f aca="false">"356-367"</f>
        <v>356-367</v>
      </c>
      <c r="K93" s="0" t="str">
        <f aca="false">"1.11"</f>
        <v>1.11</v>
      </c>
      <c r="L93" s="0" t="str">
        <f aca="false">"10.74"</f>
        <v>10.74</v>
      </c>
      <c r="M93" s="0" t="str">
        <f aca="false">"-172.1"</f>
        <v>-172.1</v>
      </c>
    </row>
    <row r="94" customFormat="false" ht="14.65" hidden="false" customHeight="false" outlineLevel="0" collapsed="false">
      <c r="A94" s="0" t="s">
        <v>2204</v>
      </c>
      <c r="B94" s="0" t="s">
        <v>9</v>
      </c>
      <c r="C94" s="0" t="str">
        <f aca="false">"271-282"</f>
        <v>271-282</v>
      </c>
      <c r="D94" s="0" t="s">
        <v>9</v>
      </c>
      <c r="E94" s="0" t="str">
        <f aca="false">"291-302"</f>
        <v>291-302</v>
      </c>
      <c r="F94" s="0" t="s">
        <v>2282</v>
      </c>
      <c r="G94" s="0" t="s">
        <v>13</v>
      </c>
      <c r="H94" s="0" t="str">
        <f aca="false">"987-998"</f>
        <v>987-998</v>
      </c>
      <c r="I94" s="0" t="s">
        <v>13</v>
      </c>
      <c r="J94" s="0" t="str">
        <f aca="false">"957-968"</f>
        <v>957-968</v>
      </c>
      <c r="K94" s="0" t="str">
        <f aca="false">"1.01"</f>
        <v>1.01</v>
      </c>
      <c r="L94" s="0" t="str">
        <f aca="false">"11.74"</f>
        <v>11.74</v>
      </c>
      <c r="M94" s="0" t="str">
        <f aca="false">"-172.1"</f>
        <v>-172.1</v>
      </c>
    </row>
    <row r="95" customFormat="false" ht="14.65" hidden="false" customHeight="false" outlineLevel="0" collapsed="false">
      <c r="A95" s="0" t="s">
        <v>2204</v>
      </c>
      <c r="B95" s="0" t="s">
        <v>9</v>
      </c>
      <c r="C95" s="0" t="str">
        <f aca="false">"271-282"</f>
        <v>271-282</v>
      </c>
      <c r="D95" s="0" t="s">
        <v>9</v>
      </c>
      <c r="E95" s="0" t="str">
        <f aca="false">"291-302"</f>
        <v>291-302</v>
      </c>
      <c r="F95" s="0" t="s">
        <v>2283</v>
      </c>
      <c r="G95" s="0" t="s">
        <v>9</v>
      </c>
      <c r="H95" s="0" t="str">
        <f aca="false">"225-236"</f>
        <v>225-236</v>
      </c>
      <c r="I95" s="0" t="s">
        <v>9</v>
      </c>
      <c r="J95" s="0" t="str">
        <f aca="false">"165-176"</f>
        <v>165-176</v>
      </c>
      <c r="K95" s="0" t="str">
        <f aca="false">"1.17"</f>
        <v>1.17</v>
      </c>
      <c r="L95" s="0" t="str">
        <f aca="false">"11.10"</f>
        <v>11.10</v>
      </c>
      <c r="M95" s="0" t="str">
        <f aca="false">"-172.1"</f>
        <v>-172.1</v>
      </c>
    </row>
    <row r="96" customFormat="false" ht="14.65" hidden="false" customHeight="false" outlineLevel="0" collapsed="false">
      <c r="A96" s="0" t="s">
        <v>2204</v>
      </c>
      <c r="B96" s="0" t="s">
        <v>9</v>
      </c>
      <c r="C96" s="0" t="str">
        <f aca="false">"267-278"</f>
        <v>267-278</v>
      </c>
      <c r="D96" s="0" t="s">
        <v>9</v>
      </c>
      <c r="E96" s="0" t="str">
        <f aca="false">"295-306"</f>
        <v>295-306</v>
      </c>
      <c r="F96" s="0" t="s">
        <v>2284</v>
      </c>
      <c r="G96" s="0" t="s">
        <v>9</v>
      </c>
      <c r="H96" s="0" t="str">
        <f aca="false">"420-431"</f>
        <v>420-431</v>
      </c>
      <c r="I96" s="0" t="s">
        <v>9</v>
      </c>
      <c r="J96" s="0" t="str">
        <f aca="false">"366-377"</f>
        <v>366-377</v>
      </c>
      <c r="K96" s="0" t="str">
        <f aca="false">"1.10"</f>
        <v>1.10</v>
      </c>
      <c r="L96" s="0" t="str">
        <f aca="false">"11.04"</f>
        <v>11.04</v>
      </c>
      <c r="M96" s="0" t="str">
        <f aca="false">"-172.2"</f>
        <v>-172.2</v>
      </c>
    </row>
    <row r="97" customFormat="false" ht="14.65" hidden="false" customHeight="false" outlineLevel="0" collapsed="false">
      <c r="A97" s="0" t="s">
        <v>2204</v>
      </c>
      <c r="B97" s="0" t="s">
        <v>9</v>
      </c>
      <c r="C97" s="0" t="str">
        <f aca="false">"271-282"</f>
        <v>271-282</v>
      </c>
      <c r="D97" s="0" t="s">
        <v>9</v>
      </c>
      <c r="E97" s="0" t="str">
        <f aca="false">"291-302"</f>
        <v>291-302</v>
      </c>
      <c r="F97" s="0" t="s">
        <v>2285</v>
      </c>
      <c r="G97" s="0" t="s">
        <v>13</v>
      </c>
      <c r="H97" s="0" t="str">
        <f aca="false">"946-957"</f>
        <v>946-957</v>
      </c>
      <c r="I97" s="0" t="s">
        <v>13</v>
      </c>
      <c r="J97" s="0" t="str">
        <f aca="false">"972-983"</f>
        <v>972-983</v>
      </c>
      <c r="K97" s="0" t="str">
        <f aca="false">"1.21"</f>
        <v>1.21</v>
      </c>
      <c r="L97" s="0" t="str">
        <f aca="false">"12.87"</f>
        <v>12.87</v>
      </c>
      <c r="M97" s="0" t="str">
        <f aca="false">"-172.2"</f>
        <v>-172.2</v>
      </c>
    </row>
    <row r="98" customFormat="false" ht="14.65" hidden="false" customHeight="false" outlineLevel="0" collapsed="false">
      <c r="A98" s="0" t="s">
        <v>2204</v>
      </c>
      <c r="B98" s="0" t="s">
        <v>9</v>
      </c>
      <c r="C98" s="0" t="str">
        <f aca="false">"271-282"</f>
        <v>271-282</v>
      </c>
      <c r="D98" s="0" t="s">
        <v>9</v>
      </c>
      <c r="E98" s="0" t="str">
        <f aca="false">"291-302"</f>
        <v>291-302</v>
      </c>
      <c r="F98" s="0" t="s">
        <v>2214</v>
      </c>
      <c r="G98" s="0" t="s">
        <v>13</v>
      </c>
      <c r="H98" s="0" t="str">
        <f aca="false">"226-237"</f>
        <v>226-237</v>
      </c>
      <c r="I98" s="0" t="s">
        <v>13</v>
      </c>
      <c r="J98" s="0" t="str">
        <f aca="false">"46-57"</f>
        <v>46-57</v>
      </c>
      <c r="K98" s="0" t="str">
        <f aca="false">"1.01"</f>
        <v>1.01</v>
      </c>
      <c r="L98" s="0" t="str">
        <f aca="false">"10.65"</f>
        <v>10.65</v>
      </c>
      <c r="M98" s="0" t="str">
        <f aca="false">"-172.6"</f>
        <v>-172.6</v>
      </c>
    </row>
    <row r="99" customFormat="false" ht="14.65" hidden="false" customHeight="false" outlineLevel="0" collapsed="false">
      <c r="A99" s="0" t="s">
        <v>2204</v>
      </c>
      <c r="B99" s="0" t="s">
        <v>9</v>
      </c>
      <c r="C99" s="0" t="str">
        <f aca="false">"271-282"</f>
        <v>271-282</v>
      </c>
      <c r="D99" s="0" t="s">
        <v>9</v>
      </c>
      <c r="E99" s="0" t="str">
        <f aca="false">"291-302"</f>
        <v>291-302</v>
      </c>
      <c r="F99" s="0" t="s">
        <v>2286</v>
      </c>
      <c r="G99" s="0" t="s">
        <v>13</v>
      </c>
      <c r="H99" s="0" t="str">
        <f aca="false">"170-181"</f>
        <v>170-181</v>
      </c>
      <c r="I99" s="0" t="s">
        <v>13</v>
      </c>
      <c r="J99" s="0" t="str">
        <f aca="false">"87-98"</f>
        <v>87-98</v>
      </c>
      <c r="K99" s="0" t="str">
        <f aca="false">"0.75"</f>
        <v>0.75</v>
      </c>
      <c r="L99" s="0" t="str">
        <f aca="false">"11.97"</f>
        <v>11.97</v>
      </c>
      <c r="M99" s="0" t="str">
        <f aca="false">"-172.9"</f>
        <v>-172.9</v>
      </c>
    </row>
    <row r="100" customFormat="false" ht="14.65" hidden="false" customHeight="false" outlineLevel="0" collapsed="false">
      <c r="A100" s="0" t="s">
        <v>2204</v>
      </c>
      <c r="B100" s="0" t="s">
        <v>9</v>
      </c>
      <c r="C100" s="0" t="str">
        <f aca="false">"271-282"</f>
        <v>271-282</v>
      </c>
      <c r="D100" s="0" t="s">
        <v>9</v>
      </c>
      <c r="E100" s="0" t="str">
        <f aca="false">"291-302"</f>
        <v>291-302</v>
      </c>
      <c r="F100" s="0" t="s">
        <v>2287</v>
      </c>
      <c r="G100" s="0" t="s">
        <v>9</v>
      </c>
      <c r="H100" s="0" t="str">
        <f aca="false">"98-109"</f>
        <v>98-109</v>
      </c>
      <c r="I100" s="0" t="s">
        <v>9</v>
      </c>
      <c r="J100" s="0" t="str">
        <f aca="false">"15-26"</f>
        <v>15-26</v>
      </c>
      <c r="K100" s="0" t="str">
        <f aca="false">"1.14"</f>
        <v>1.14</v>
      </c>
      <c r="L100" s="0" t="str">
        <f aca="false">"11.47"</f>
        <v>11.47</v>
      </c>
      <c r="M100" s="0" t="str">
        <f aca="false">"-173.2"</f>
        <v>-173.2</v>
      </c>
    </row>
    <row r="101" customFormat="false" ht="14.65" hidden="false" customHeight="false" outlineLevel="0" collapsed="false">
      <c r="A101" s="0" t="s">
        <v>2204</v>
      </c>
      <c r="B101" s="0" t="s">
        <v>9</v>
      </c>
      <c r="C101" s="0" t="str">
        <f aca="false">"267-278"</f>
        <v>267-278</v>
      </c>
      <c r="D101" s="0" t="s">
        <v>9</v>
      </c>
      <c r="E101" s="0" t="str">
        <f aca="false">"292-303"</f>
        <v>292-303</v>
      </c>
      <c r="F101" s="0" t="s">
        <v>2288</v>
      </c>
      <c r="G101" s="0" t="s">
        <v>9</v>
      </c>
      <c r="H101" s="0" t="str">
        <f aca="false">"103-114"</f>
        <v>103-114</v>
      </c>
      <c r="I101" s="0" t="s">
        <v>9</v>
      </c>
      <c r="J101" s="0" t="str">
        <f aca="false">"134-145"</f>
        <v>134-145</v>
      </c>
      <c r="K101" s="0" t="str">
        <f aca="false">"1.16"</f>
        <v>1.16</v>
      </c>
      <c r="L101" s="0" t="str">
        <f aca="false">"12.20"</f>
        <v>12.20</v>
      </c>
      <c r="M101" s="0" t="str">
        <f aca="false">"-173.3"</f>
        <v>-173.3</v>
      </c>
    </row>
    <row r="102" customFormat="false" ht="14.65" hidden="false" customHeight="false" outlineLevel="0" collapsed="false">
      <c r="A102" s="0" t="s">
        <v>2204</v>
      </c>
      <c r="B102" s="0" t="s">
        <v>9</v>
      </c>
      <c r="C102" s="0" t="str">
        <f aca="false">"271-282"</f>
        <v>271-282</v>
      </c>
      <c r="D102" s="0" t="s">
        <v>9</v>
      </c>
      <c r="E102" s="0" t="str">
        <f aca="false">"291-302"</f>
        <v>291-302</v>
      </c>
      <c r="F102" s="0" t="s">
        <v>2289</v>
      </c>
      <c r="G102" s="0" t="s">
        <v>1484</v>
      </c>
      <c r="H102" s="0" t="str">
        <f aca="false">"131-142"</f>
        <v>131-142</v>
      </c>
      <c r="I102" s="0" t="s">
        <v>1484</v>
      </c>
      <c r="J102" s="0" t="str">
        <f aca="false">"45-56"</f>
        <v>45-56</v>
      </c>
      <c r="K102" s="0" t="str">
        <f aca="false">"1.02"</f>
        <v>1.02</v>
      </c>
      <c r="L102" s="0" t="str">
        <f aca="false">"11.43"</f>
        <v>11.43</v>
      </c>
      <c r="M102" s="0" t="str">
        <f aca="false">"-173.5"</f>
        <v>-173.5</v>
      </c>
    </row>
    <row r="103" customFormat="false" ht="14.65" hidden="false" customHeight="false" outlineLevel="0" collapsed="false">
      <c r="A103" s="0" t="s">
        <v>2204</v>
      </c>
      <c r="B103" s="0" t="s">
        <v>9</v>
      </c>
      <c r="C103" s="0" t="str">
        <f aca="false">"271-282"</f>
        <v>271-282</v>
      </c>
      <c r="D103" s="0" t="s">
        <v>9</v>
      </c>
      <c r="E103" s="0" t="str">
        <f aca="false">"291-302"</f>
        <v>291-302</v>
      </c>
      <c r="F103" s="0" t="s">
        <v>2290</v>
      </c>
      <c r="G103" s="0" t="s">
        <v>9</v>
      </c>
      <c r="H103" s="0" t="str">
        <f aca="false">"479-490"</f>
        <v>479-490</v>
      </c>
      <c r="I103" s="0" t="s">
        <v>9</v>
      </c>
      <c r="J103" s="0" t="str">
        <f aca="false">"438-449"</f>
        <v>438-449</v>
      </c>
      <c r="K103" s="0" t="str">
        <f aca="false">"1.04"</f>
        <v>1.04</v>
      </c>
      <c r="L103" s="0" t="str">
        <f aca="false">"11.00"</f>
        <v>11.00</v>
      </c>
      <c r="M103" s="0" t="str">
        <f aca="false">"-173.6"</f>
        <v>-173.6</v>
      </c>
    </row>
    <row r="104" customFormat="false" ht="14.65" hidden="false" customHeight="false" outlineLevel="0" collapsed="false">
      <c r="A104" s="0" t="s">
        <v>2204</v>
      </c>
      <c r="B104" s="0" t="s">
        <v>9</v>
      </c>
      <c r="C104" s="0" t="str">
        <f aca="false">"271-282"</f>
        <v>271-282</v>
      </c>
      <c r="D104" s="0" t="s">
        <v>9</v>
      </c>
      <c r="E104" s="0" t="str">
        <f aca="false">"291-302"</f>
        <v>291-302</v>
      </c>
      <c r="F104" s="0" t="s">
        <v>2211</v>
      </c>
      <c r="G104" s="0" t="s">
        <v>9</v>
      </c>
      <c r="H104" s="0" t="str">
        <f aca="false">"70-81"</f>
        <v>70-81</v>
      </c>
      <c r="I104" s="0" t="s">
        <v>9</v>
      </c>
      <c r="J104" s="0" t="str">
        <f aca="false">"168-179"</f>
        <v>168-179</v>
      </c>
      <c r="K104" s="0" t="str">
        <f aca="false">"1.09"</f>
        <v>1.09</v>
      </c>
      <c r="L104" s="0" t="str">
        <f aca="false">"10.48"</f>
        <v>10.48</v>
      </c>
      <c r="M104" s="0" t="str">
        <f aca="false">"-173.6"</f>
        <v>-173.6</v>
      </c>
    </row>
    <row r="105" customFormat="false" ht="14.65" hidden="false" customHeight="false" outlineLevel="0" collapsed="false">
      <c r="A105" s="0" t="s">
        <v>2204</v>
      </c>
      <c r="B105" s="0" t="s">
        <v>9</v>
      </c>
      <c r="C105" s="0" t="str">
        <f aca="false">"271-282"</f>
        <v>271-282</v>
      </c>
      <c r="D105" s="0" t="s">
        <v>9</v>
      </c>
      <c r="E105" s="0" t="str">
        <f aca="false">"291-302"</f>
        <v>291-302</v>
      </c>
      <c r="F105" s="0" t="s">
        <v>1506</v>
      </c>
      <c r="G105" s="0" t="s">
        <v>9</v>
      </c>
      <c r="H105" s="0" t="str">
        <f aca="false">"70-81"</f>
        <v>70-81</v>
      </c>
      <c r="I105" s="0" t="s">
        <v>9</v>
      </c>
      <c r="J105" s="0" t="str">
        <f aca="false">"104-115"</f>
        <v>104-115</v>
      </c>
      <c r="K105" s="0" t="str">
        <f aca="false">"1.07"</f>
        <v>1.07</v>
      </c>
      <c r="L105" s="0" t="str">
        <f aca="false">"11.95"</f>
        <v>11.95</v>
      </c>
      <c r="M105" s="0" t="str">
        <f aca="false">"-173.9"</f>
        <v>-173.9</v>
      </c>
    </row>
    <row r="106" customFormat="false" ht="14.65" hidden="false" customHeight="false" outlineLevel="0" collapsed="false">
      <c r="A106" s="0" t="s">
        <v>2204</v>
      </c>
      <c r="B106" s="0" t="s">
        <v>9</v>
      </c>
      <c r="C106" s="0" t="str">
        <f aca="false">"271-282"</f>
        <v>271-282</v>
      </c>
      <c r="D106" s="0" t="s">
        <v>9</v>
      </c>
      <c r="E106" s="0" t="str">
        <f aca="false">"291-302"</f>
        <v>291-302</v>
      </c>
      <c r="F106" s="0" t="s">
        <v>179</v>
      </c>
      <c r="G106" s="0" t="s">
        <v>9</v>
      </c>
      <c r="H106" s="0" t="str">
        <f aca="false">"217-228"</f>
        <v>217-228</v>
      </c>
      <c r="I106" s="0" t="s">
        <v>9</v>
      </c>
      <c r="J106" s="0" t="str">
        <f aca="false">"141-152"</f>
        <v>141-152</v>
      </c>
      <c r="K106" s="0" t="str">
        <f aca="false">"1.04"</f>
        <v>1.04</v>
      </c>
      <c r="L106" s="0" t="str">
        <f aca="false">"11.51"</f>
        <v>11.51</v>
      </c>
      <c r="M106" s="0" t="str">
        <f aca="false">"-174.3"</f>
        <v>-174.3</v>
      </c>
    </row>
    <row r="107" customFormat="false" ht="14.65" hidden="false" customHeight="false" outlineLevel="0" collapsed="false">
      <c r="A107" s="0" t="s">
        <v>2204</v>
      </c>
      <c r="B107" s="0" t="s">
        <v>9</v>
      </c>
      <c r="C107" s="0" t="str">
        <f aca="false">"271-282"</f>
        <v>271-282</v>
      </c>
      <c r="D107" s="0" t="s">
        <v>9</v>
      </c>
      <c r="E107" s="0" t="str">
        <f aca="false">"291-302"</f>
        <v>291-302</v>
      </c>
      <c r="F107" s="0" t="s">
        <v>2219</v>
      </c>
      <c r="G107" s="0" t="s">
        <v>13</v>
      </c>
      <c r="H107" s="0" t="str">
        <f aca="false">"504-515"</f>
        <v>504-515</v>
      </c>
      <c r="I107" s="0" t="s">
        <v>13</v>
      </c>
      <c r="J107" s="0" t="str">
        <f aca="false">"117-128"</f>
        <v>117-128</v>
      </c>
      <c r="K107" s="0" t="str">
        <f aca="false">"1.13"</f>
        <v>1.13</v>
      </c>
      <c r="L107" s="0" t="str">
        <f aca="false">"10.69"</f>
        <v>10.69</v>
      </c>
      <c r="M107" s="0" t="str">
        <f aca="false">"-175.0"</f>
        <v>-175.0</v>
      </c>
    </row>
    <row r="108" customFormat="false" ht="14.65" hidden="false" customHeight="false" outlineLevel="0" collapsed="false">
      <c r="A108" s="0" t="s">
        <v>2204</v>
      </c>
      <c r="B108" s="0" t="s">
        <v>9</v>
      </c>
      <c r="C108" s="0" t="str">
        <f aca="false">"266-277"</f>
        <v>266-277</v>
      </c>
      <c r="D108" s="0" t="s">
        <v>9</v>
      </c>
      <c r="E108" s="0" t="str">
        <f aca="false">"294-305"</f>
        <v>294-305</v>
      </c>
      <c r="F108" s="0" t="s">
        <v>2291</v>
      </c>
      <c r="G108" s="0" t="s">
        <v>9</v>
      </c>
      <c r="H108" s="0" t="str">
        <f aca="false">"17-28"</f>
        <v>17-28</v>
      </c>
      <c r="I108" s="0" t="s">
        <v>9</v>
      </c>
      <c r="J108" s="0" t="str">
        <f aca="false">"40-51"</f>
        <v>40-51</v>
      </c>
      <c r="K108" s="0" t="str">
        <f aca="false">"0.99"</f>
        <v>0.99</v>
      </c>
      <c r="L108" s="0" t="str">
        <f aca="false">"13.41"</f>
        <v>13.41</v>
      </c>
      <c r="M108" s="0" t="str">
        <f aca="false">"-175.3"</f>
        <v>-175.3</v>
      </c>
    </row>
    <row r="109" customFormat="false" ht="14.65" hidden="false" customHeight="false" outlineLevel="0" collapsed="false">
      <c r="A109" s="0" t="s">
        <v>2204</v>
      </c>
      <c r="B109" s="0" t="s">
        <v>9</v>
      </c>
      <c r="C109" s="0" t="str">
        <f aca="false">"271-282"</f>
        <v>271-282</v>
      </c>
      <c r="D109" s="0" t="s">
        <v>9</v>
      </c>
      <c r="E109" s="0" t="str">
        <f aca="false">"291-302"</f>
        <v>291-302</v>
      </c>
      <c r="F109" s="0" t="s">
        <v>1504</v>
      </c>
      <c r="G109" s="0" t="s">
        <v>9</v>
      </c>
      <c r="H109" s="0" t="str">
        <f aca="false">"109-120"</f>
        <v>109-120</v>
      </c>
      <c r="I109" s="0" t="s">
        <v>9</v>
      </c>
      <c r="J109" s="0" t="str">
        <f aca="false">"7-18"</f>
        <v>7-18</v>
      </c>
      <c r="K109" s="0" t="str">
        <f aca="false">"1.01"</f>
        <v>1.01</v>
      </c>
      <c r="L109" s="0" t="str">
        <f aca="false">"11.42"</f>
        <v>11.42</v>
      </c>
      <c r="M109" s="0" t="str">
        <f aca="false">"-175.8"</f>
        <v>-175.8</v>
      </c>
    </row>
    <row r="110" customFormat="false" ht="14.65" hidden="false" customHeight="false" outlineLevel="0" collapsed="false">
      <c r="A110" s="0" t="s">
        <v>2204</v>
      </c>
      <c r="B110" s="0" t="s">
        <v>9</v>
      </c>
      <c r="C110" s="0" t="str">
        <f aca="false">"271-282"</f>
        <v>271-282</v>
      </c>
      <c r="D110" s="0" t="s">
        <v>9</v>
      </c>
      <c r="E110" s="0" t="str">
        <f aca="false">"291-302"</f>
        <v>291-302</v>
      </c>
      <c r="F110" s="0" t="s">
        <v>2227</v>
      </c>
      <c r="G110" s="0" t="s">
        <v>9</v>
      </c>
      <c r="H110" s="0" t="str">
        <f aca="false">"243-254"</f>
        <v>243-254</v>
      </c>
      <c r="I110" s="0" t="s">
        <v>9</v>
      </c>
      <c r="J110" s="0" t="str">
        <f aca="false">"156-167"</f>
        <v>156-167</v>
      </c>
      <c r="K110" s="0" t="str">
        <f aca="false">"1.23"</f>
        <v>1.23</v>
      </c>
      <c r="L110" s="0" t="str">
        <f aca="false">"10.93"</f>
        <v>10.93</v>
      </c>
      <c r="M110" s="0" t="str">
        <f aca="false">"-176.4"</f>
        <v>-176.4</v>
      </c>
    </row>
    <row r="111" customFormat="false" ht="14.65" hidden="false" customHeight="false" outlineLevel="0" collapsed="false">
      <c r="A111" s="0" t="s">
        <v>2204</v>
      </c>
      <c r="B111" s="0" t="s">
        <v>9</v>
      </c>
      <c r="C111" s="0" t="str">
        <f aca="false">"271-282"</f>
        <v>271-282</v>
      </c>
      <c r="D111" s="0" t="s">
        <v>9</v>
      </c>
      <c r="E111" s="0" t="str">
        <f aca="false">"291-302"</f>
        <v>291-302</v>
      </c>
      <c r="F111" s="0" t="s">
        <v>1497</v>
      </c>
      <c r="G111" s="0" t="s">
        <v>9</v>
      </c>
      <c r="H111" s="0" t="str">
        <f aca="false">"90-101"</f>
        <v>90-101</v>
      </c>
      <c r="I111" s="0" t="s">
        <v>13</v>
      </c>
      <c r="J111" s="0" t="str">
        <f aca="false">"86-97"</f>
        <v>86-97</v>
      </c>
      <c r="K111" s="0" t="str">
        <f aca="false">"1.10"</f>
        <v>1.10</v>
      </c>
      <c r="L111" s="0" t="str">
        <f aca="false">"11.09"</f>
        <v>11.09</v>
      </c>
      <c r="M111" s="0" t="str">
        <f aca="false">"-176.7"</f>
        <v>-176.7</v>
      </c>
    </row>
    <row r="112" customFormat="false" ht="14.65" hidden="false" customHeight="false" outlineLevel="0" collapsed="false">
      <c r="A112" s="0" t="s">
        <v>2204</v>
      </c>
      <c r="B112" s="0" t="s">
        <v>9</v>
      </c>
      <c r="C112" s="0" t="str">
        <f aca="false">"267-278"</f>
        <v>267-278</v>
      </c>
      <c r="D112" s="0" t="s">
        <v>9</v>
      </c>
      <c r="E112" s="0" t="str">
        <f aca="false">"294-305"</f>
        <v>294-305</v>
      </c>
      <c r="F112" s="0" t="s">
        <v>2292</v>
      </c>
      <c r="G112" s="0" t="s">
        <v>9</v>
      </c>
      <c r="H112" s="0" t="str">
        <f aca="false">"15-26"</f>
        <v>15-26</v>
      </c>
      <c r="I112" s="0" t="s">
        <v>9</v>
      </c>
      <c r="J112" s="0" t="str">
        <f aca="false">"95-106"</f>
        <v>95-106</v>
      </c>
      <c r="K112" s="0" t="str">
        <f aca="false">"1.09"</f>
        <v>1.09</v>
      </c>
      <c r="L112" s="0" t="str">
        <f aca="false">"12.28"</f>
        <v>12.28</v>
      </c>
      <c r="M112" s="0" t="str">
        <f aca="false">"-177.1"</f>
        <v>-177.1</v>
      </c>
    </row>
    <row r="113" customFormat="false" ht="14.65" hidden="false" customHeight="false" outlineLevel="0" collapsed="false">
      <c r="A113" s="0" t="s">
        <v>2204</v>
      </c>
      <c r="B113" s="0" t="s">
        <v>9</v>
      </c>
      <c r="C113" s="0" t="str">
        <f aca="false">"267-278"</f>
        <v>267-278</v>
      </c>
      <c r="D113" s="0" t="s">
        <v>9</v>
      </c>
      <c r="E113" s="0" t="str">
        <f aca="false">"294-305"</f>
        <v>294-305</v>
      </c>
      <c r="F113" s="0" t="s">
        <v>2229</v>
      </c>
      <c r="G113" s="0" t="s">
        <v>13</v>
      </c>
      <c r="H113" s="0" t="str">
        <f aca="false">"93-104"</f>
        <v>93-104</v>
      </c>
      <c r="I113" s="0" t="s">
        <v>13</v>
      </c>
      <c r="J113" s="0" t="str">
        <f aca="false">"248-259"</f>
        <v>248-259</v>
      </c>
      <c r="K113" s="0" t="str">
        <f aca="false">"1.06"</f>
        <v>1.06</v>
      </c>
      <c r="L113" s="0" t="str">
        <f aca="false">"10.93"</f>
        <v>10.93</v>
      </c>
      <c r="M113" s="0" t="str">
        <f aca="false">"-178.1"</f>
        <v>-178.1</v>
      </c>
    </row>
    <row r="114" customFormat="false" ht="14.65" hidden="false" customHeight="false" outlineLevel="0" collapsed="false">
      <c r="A114" s="0" t="s">
        <v>2204</v>
      </c>
      <c r="B114" s="0" t="s">
        <v>9</v>
      </c>
      <c r="C114" s="0" t="str">
        <f aca="false">"271-282"</f>
        <v>271-282</v>
      </c>
      <c r="D114" s="0" t="s">
        <v>9</v>
      </c>
      <c r="E114" s="0" t="str">
        <f aca="false">"291-302"</f>
        <v>291-302</v>
      </c>
      <c r="F114" s="0" t="s">
        <v>1399</v>
      </c>
      <c r="G114" s="0" t="s">
        <v>13</v>
      </c>
      <c r="H114" s="0" t="str">
        <f aca="false">"42-53"</f>
        <v>42-53</v>
      </c>
      <c r="I114" s="0" t="s">
        <v>9</v>
      </c>
      <c r="J114" s="0" t="str">
        <f aca="false">"107-118"</f>
        <v>107-118</v>
      </c>
      <c r="K114" s="0" t="str">
        <f aca="false">"0.59"</f>
        <v>0.59</v>
      </c>
      <c r="L114" s="0" t="str">
        <f aca="false">"11.38"</f>
        <v>11.38</v>
      </c>
      <c r="M114" s="0" t="str">
        <f aca="false">"-179.4"</f>
        <v>-179.4</v>
      </c>
    </row>
    <row r="115" customFormat="false" ht="14.65" hidden="false" customHeight="false" outlineLevel="0" collapsed="false">
      <c r="A115" s="0" t="s">
        <v>2204</v>
      </c>
      <c r="B115" s="0" t="s">
        <v>9</v>
      </c>
      <c r="C115" s="0" t="str">
        <f aca="false">"264-275"</f>
        <v>264-275</v>
      </c>
      <c r="D115" s="0" t="s">
        <v>9</v>
      </c>
      <c r="E115" s="0" t="str">
        <f aca="false">"299-310"</f>
        <v>299-310</v>
      </c>
      <c r="F115" s="0" t="s">
        <v>2293</v>
      </c>
      <c r="G115" s="0" t="s">
        <v>9</v>
      </c>
      <c r="H115" s="0" t="str">
        <f aca="false">"131-142"</f>
        <v>131-142</v>
      </c>
      <c r="I115" s="0" t="s">
        <v>9</v>
      </c>
      <c r="J115" s="0" t="str">
        <f aca="false">"149-160"</f>
        <v>149-160</v>
      </c>
      <c r="K115" s="0" t="str">
        <f aca="false">"1.10"</f>
        <v>1.10</v>
      </c>
      <c r="L115" s="0" t="str">
        <f aca="false">"12.52"</f>
        <v>12.52</v>
      </c>
      <c r="M115" s="0" t="str">
        <f aca="false">"147.9"</f>
        <v>147.9</v>
      </c>
    </row>
    <row r="116" customFormat="false" ht="14.65" hidden="false" customHeight="false" outlineLevel="0" collapsed="false">
      <c r="A116" s="0" t="s">
        <v>2204</v>
      </c>
      <c r="B116" s="0" t="s">
        <v>9</v>
      </c>
      <c r="C116" s="0" t="str">
        <f aca="false">"263-274"</f>
        <v>263-274</v>
      </c>
      <c r="D116" s="0" t="s">
        <v>9</v>
      </c>
      <c r="E116" s="0" t="str">
        <f aca="false">"299-310"</f>
        <v>299-310</v>
      </c>
      <c r="F116" s="0" t="s">
        <v>2294</v>
      </c>
      <c r="G116" s="0" t="s">
        <v>9</v>
      </c>
      <c r="H116" s="0" t="str">
        <f aca="false">"133-144"</f>
        <v>133-144</v>
      </c>
      <c r="I116" s="0" t="s">
        <v>9</v>
      </c>
      <c r="J116" s="0" t="str">
        <f aca="false">"148-159"</f>
        <v>148-159</v>
      </c>
      <c r="K116" s="0" t="str">
        <f aca="false">"1.20"</f>
        <v>1.20</v>
      </c>
      <c r="L116" s="0" t="str">
        <f aca="false">"13.82"</f>
        <v>13.82</v>
      </c>
      <c r="M116" s="0" t="str">
        <f aca="false">"154.8"</f>
        <v>154.8</v>
      </c>
    </row>
    <row r="117" customFormat="false" ht="14.65" hidden="false" customHeight="false" outlineLevel="0" collapsed="false">
      <c r="A117" s="0" t="s">
        <v>2204</v>
      </c>
      <c r="B117" s="0" t="s">
        <v>9</v>
      </c>
      <c r="C117" s="0" t="str">
        <f aca="false">"267-278"</f>
        <v>267-278</v>
      </c>
      <c r="D117" s="0" t="s">
        <v>9</v>
      </c>
      <c r="E117" s="0" t="str">
        <f aca="false">"292-303"</f>
        <v>292-303</v>
      </c>
      <c r="F117" s="0" t="s">
        <v>2295</v>
      </c>
      <c r="G117" s="0" t="s">
        <v>13</v>
      </c>
      <c r="H117" s="0" t="str">
        <f aca="false">"317-328"</f>
        <v>317-328</v>
      </c>
      <c r="I117" s="0" t="s">
        <v>13</v>
      </c>
      <c r="J117" s="0" t="str">
        <f aca="false">"194-205"</f>
        <v>194-205</v>
      </c>
      <c r="K117" s="0" t="str">
        <f aca="false">"1.13"</f>
        <v>1.13</v>
      </c>
      <c r="L117" s="0" t="str">
        <f aca="false">"13.16"</f>
        <v>13.16</v>
      </c>
      <c r="M117" s="0" t="str">
        <f aca="false">"162.1"</f>
        <v>162.1</v>
      </c>
    </row>
    <row r="118" customFormat="false" ht="14.65" hidden="false" customHeight="false" outlineLevel="0" collapsed="false">
      <c r="A118" s="0" t="s">
        <v>2204</v>
      </c>
      <c r="B118" s="0" t="s">
        <v>9</v>
      </c>
      <c r="C118" s="0" t="str">
        <f aca="false">"271-282"</f>
        <v>271-282</v>
      </c>
      <c r="D118" s="0" t="s">
        <v>9</v>
      </c>
      <c r="E118" s="0" t="str">
        <f aca="false">"291-302"</f>
        <v>291-302</v>
      </c>
      <c r="F118" s="0" t="s">
        <v>2296</v>
      </c>
      <c r="G118" s="0" t="s">
        <v>9</v>
      </c>
      <c r="H118" s="0" t="str">
        <f aca="false">"814-825"</f>
        <v>814-825</v>
      </c>
      <c r="I118" s="0" t="s">
        <v>9</v>
      </c>
      <c r="J118" s="0" t="str">
        <f aca="false">"730-741"</f>
        <v>730-741</v>
      </c>
      <c r="K118" s="0" t="str">
        <f aca="false">"1.20"</f>
        <v>1.20</v>
      </c>
      <c r="L118" s="0" t="str">
        <f aca="false">"10.90"</f>
        <v>10.90</v>
      </c>
      <c r="M118" s="0" t="str">
        <f aca="false">"163.1"</f>
        <v>163.1</v>
      </c>
    </row>
    <row r="119" customFormat="false" ht="14.65" hidden="false" customHeight="false" outlineLevel="0" collapsed="false">
      <c r="A119" s="0" t="s">
        <v>2204</v>
      </c>
      <c r="B119" s="0" t="s">
        <v>9</v>
      </c>
      <c r="C119" s="0" t="str">
        <f aca="false">"270-281"</f>
        <v>270-281</v>
      </c>
      <c r="D119" s="0" t="s">
        <v>9</v>
      </c>
      <c r="E119" s="0" t="str">
        <f aca="false">"290-301"</f>
        <v>290-301</v>
      </c>
      <c r="F119" s="0" t="s">
        <v>2297</v>
      </c>
      <c r="G119" s="0" t="s">
        <v>71</v>
      </c>
      <c r="H119" s="0" t="str">
        <f aca="false">"106-117"</f>
        <v>106-117</v>
      </c>
      <c r="I119" s="0" t="s">
        <v>71</v>
      </c>
      <c r="J119" s="0" t="str">
        <f aca="false">"89-100"</f>
        <v>89-100</v>
      </c>
      <c r="K119" s="0" t="str">
        <f aca="false">"1.06"</f>
        <v>1.06</v>
      </c>
      <c r="L119" s="0" t="str">
        <f aca="false">"11.14"</f>
        <v>11.14</v>
      </c>
      <c r="M119" s="0" t="str">
        <f aca="false">"164.6"</f>
        <v>164.6</v>
      </c>
    </row>
    <row r="120" customFormat="false" ht="14.65" hidden="false" customHeight="false" outlineLevel="0" collapsed="false">
      <c r="A120" s="0" t="s">
        <v>2204</v>
      </c>
      <c r="B120" s="0" t="s">
        <v>9</v>
      </c>
      <c r="C120" s="0" t="str">
        <f aca="false">"266-277"</f>
        <v>266-277</v>
      </c>
      <c r="D120" s="0" t="s">
        <v>9</v>
      </c>
      <c r="E120" s="0" t="str">
        <f aca="false">"293-304"</f>
        <v>293-304</v>
      </c>
      <c r="F120" s="0" t="s">
        <v>2298</v>
      </c>
      <c r="G120" s="0" t="s">
        <v>9</v>
      </c>
      <c r="H120" s="0" t="str">
        <f aca="false">"159-170"</f>
        <v>159-170</v>
      </c>
      <c r="I120" s="0" t="s">
        <v>9</v>
      </c>
      <c r="J120" s="0" t="str">
        <f aca="false">"176-187"</f>
        <v>176-187</v>
      </c>
      <c r="K120" s="0" t="str">
        <f aca="false">"1.17"</f>
        <v>1.17</v>
      </c>
      <c r="L120" s="0" t="str">
        <f aca="false">"12.91"</f>
        <v>12.91</v>
      </c>
      <c r="M120" s="0" t="str">
        <f aca="false">"165.3"</f>
        <v>165.3</v>
      </c>
    </row>
    <row r="121" customFormat="false" ht="14.65" hidden="false" customHeight="false" outlineLevel="0" collapsed="false">
      <c r="A121" s="0" t="s">
        <v>2204</v>
      </c>
      <c r="B121" s="0" t="s">
        <v>9</v>
      </c>
      <c r="C121" s="0" t="str">
        <f aca="false">"271-282"</f>
        <v>271-282</v>
      </c>
      <c r="D121" s="0" t="s">
        <v>9</v>
      </c>
      <c r="E121" s="0" t="str">
        <f aca="false">"291-302"</f>
        <v>291-302</v>
      </c>
      <c r="F121" s="0" t="s">
        <v>2299</v>
      </c>
      <c r="G121" s="0" t="s">
        <v>70</v>
      </c>
      <c r="H121" s="0" t="str">
        <f aca="false">"157-168"</f>
        <v>157-168</v>
      </c>
      <c r="I121" s="0" t="s">
        <v>24</v>
      </c>
      <c r="J121" s="0" t="str">
        <f aca="false">"246-257"</f>
        <v>246-257</v>
      </c>
      <c r="K121" s="0" t="str">
        <f aca="false">"1.16"</f>
        <v>1.16</v>
      </c>
      <c r="L121" s="0" t="str">
        <f aca="false">"11.83"</f>
        <v>11.83</v>
      </c>
      <c r="M121" s="0" t="str">
        <f aca="false">"165.5"</f>
        <v>165.5</v>
      </c>
    </row>
    <row r="122" customFormat="false" ht="14.65" hidden="false" customHeight="false" outlineLevel="0" collapsed="false">
      <c r="A122" s="0" t="s">
        <v>2204</v>
      </c>
      <c r="B122" s="0" t="s">
        <v>9</v>
      </c>
      <c r="C122" s="0" t="str">
        <f aca="false">"271-282"</f>
        <v>271-282</v>
      </c>
      <c r="D122" s="0" t="s">
        <v>9</v>
      </c>
      <c r="E122" s="0" t="str">
        <f aca="false">"291-302"</f>
        <v>291-302</v>
      </c>
      <c r="F122" s="0" t="s">
        <v>2300</v>
      </c>
      <c r="G122" s="0" t="s">
        <v>9</v>
      </c>
      <c r="H122" s="0" t="str">
        <f aca="false">"166-177"</f>
        <v>166-177</v>
      </c>
      <c r="I122" s="0" t="s">
        <v>9</v>
      </c>
      <c r="J122" s="0" t="str">
        <f aca="false">"140-151"</f>
        <v>140-151</v>
      </c>
      <c r="K122" s="0" t="str">
        <f aca="false">"1.09"</f>
        <v>1.09</v>
      </c>
      <c r="L122" s="0" t="str">
        <f aca="false">"10.62"</f>
        <v>10.62</v>
      </c>
      <c r="M122" s="0" t="str">
        <f aca="false">"165.6"</f>
        <v>165.6</v>
      </c>
    </row>
    <row r="123" customFormat="false" ht="14.65" hidden="false" customHeight="false" outlineLevel="0" collapsed="false">
      <c r="A123" s="0" t="s">
        <v>2204</v>
      </c>
      <c r="B123" s="0" t="s">
        <v>9</v>
      </c>
      <c r="C123" s="0" t="str">
        <f aca="false">"263-274"</f>
        <v>263-274</v>
      </c>
      <c r="D123" s="0" t="s">
        <v>9</v>
      </c>
      <c r="E123" s="0" t="str">
        <f aca="false">"295-306"</f>
        <v>295-306</v>
      </c>
      <c r="F123" s="0" t="s">
        <v>2301</v>
      </c>
      <c r="G123" s="0" t="s">
        <v>9</v>
      </c>
      <c r="H123" s="0" t="str">
        <f aca="false">"571-582"</f>
        <v>571-582</v>
      </c>
      <c r="I123" s="0" t="s">
        <v>9</v>
      </c>
      <c r="J123" s="0" t="str">
        <f aca="false">"640-651"</f>
        <v>640-651</v>
      </c>
      <c r="K123" s="0" t="str">
        <f aca="false">"1.19"</f>
        <v>1.19</v>
      </c>
      <c r="L123" s="0" t="str">
        <f aca="false">"13.43"</f>
        <v>13.43</v>
      </c>
      <c r="M123" s="0" t="str">
        <f aca="false">"166.2"</f>
        <v>166.2</v>
      </c>
    </row>
    <row r="124" customFormat="false" ht="14.65" hidden="false" customHeight="false" outlineLevel="0" collapsed="false">
      <c r="A124" s="0" t="s">
        <v>2204</v>
      </c>
      <c r="B124" s="0" t="s">
        <v>9</v>
      </c>
      <c r="C124" s="0" t="str">
        <f aca="false">"265-276"</f>
        <v>265-276</v>
      </c>
      <c r="D124" s="0" t="s">
        <v>9</v>
      </c>
      <c r="E124" s="0" t="str">
        <f aca="false">"292-303"</f>
        <v>292-303</v>
      </c>
      <c r="F124" s="0" t="s">
        <v>2302</v>
      </c>
      <c r="G124" s="0" t="s">
        <v>9</v>
      </c>
      <c r="H124" s="0" t="str">
        <f aca="false">"256-267"</f>
        <v>256-267</v>
      </c>
      <c r="I124" s="0" t="s">
        <v>9</v>
      </c>
      <c r="J124" s="0" t="str">
        <f aca="false">"278-289"</f>
        <v>278-289</v>
      </c>
      <c r="K124" s="0" t="str">
        <f aca="false">"1.22"</f>
        <v>1.22</v>
      </c>
      <c r="L124" s="0" t="str">
        <f aca="false">"13.85"</f>
        <v>13.85</v>
      </c>
      <c r="M124" s="0" t="str">
        <f aca="false">"167.5"</f>
        <v>167.5</v>
      </c>
    </row>
    <row r="125" customFormat="false" ht="14.65" hidden="false" customHeight="false" outlineLevel="0" collapsed="false">
      <c r="A125" s="0" t="s">
        <v>2204</v>
      </c>
      <c r="B125" s="0" t="s">
        <v>9</v>
      </c>
      <c r="C125" s="0" t="str">
        <f aca="false">"271-282"</f>
        <v>271-282</v>
      </c>
      <c r="D125" s="0" t="s">
        <v>9</v>
      </c>
      <c r="E125" s="0" t="str">
        <f aca="false">"291-302"</f>
        <v>291-302</v>
      </c>
      <c r="F125" s="0" t="s">
        <v>1359</v>
      </c>
      <c r="G125" s="0" t="s">
        <v>13</v>
      </c>
      <c r="H125" s="0" t="str">
        <f aca="false">"155-166"</f>
        <v>155-166</v>
      </c>
      <c r="I125" s="0" t="s">
        <v>9</v>
      </c>
      <c r="J125" s="0" t="str">
        <f aca="false">"163-174"</f>
        <v>163-174</v>
      </c>
      <c r="K125" s="0" t="str">
        <f aca="false">"1.25"</f>
        <v>1.25</v>
      </c>
      <c r="L125" s="0" t="str">
        <f aca="false">"11.51"</f>
        <v>11.51</v>
      </c>
      <c r="M125" s="0" t="str">
        <f aca="false">"167.7"</f>
        <v>167.7</v>
      </c>
    </row>
    <row r="126" customFormat="false" ht="14.65" hidden="false" customHeight="false" outlineLevel="0" collapsed="false">
      <c r="A126" s="0" t="s">
        <v>2204</v>
      </c>
      <c r="B126" s="0" t="s">
        <v>9</v>
      </c>
      <c r="C126" s="0" t="str">
        <f aca="false">"271-282"</f>
        <v>271-282</v>
      </c>
      <c r="D126" s="0" t="s">
        <v>9</v>
      </c>
      <c r="E126" s="0" t="str">
        <f aca="false">"291-302"</f>
        <v>291-302</v>
      </c>
      <c r="F126" s="0" t="s">
        <v>2303</v>
      </c>
      <c r="G126" s="0" t="s">
        <v>9</v>
      </c>
      <c r="H126" s="0" t="str">
        <f aca="false">"142-153"</f>
        <v>142-153</v>
      </c>
      <c r="I126" s="0" t="s">
        <v>9</v>
      </c>
      <c r="J126" s="0" t="str">
        <f aca="false">"208-219"</f>
        <v>208-219</v>
      </c>
      <c r="K126" s="0" t="str">
        <f aca="false">"1.20"</f>
        <v>1.20</v>
      </c>
      <c r="L126" s="0" t="str">
        <f aca="false">"11.38"</f>
        <v>11.38</v>
      </c>
      <c r="M126" s="0" t="str">
        <f aca="false">"168.1"</f>
        <v>168.1</v>
      </c>
    </row>
    <row r="127" customFormat="false" ht="14.65" hidden="false" customHeight="false" outlineLevel="0" collapsed="false">
      <c r="A127" s="0" t="s">
        <v>2204</v>
      </c>
      <c r="B127" s="0" t="s">
        <v>9</v>
      </c>
      <c r="C127" s="0" t="str">
        <f aca="false">"271-282"</f>
        <v>271-282</v>
      </c>
      <c r="D127" s="0" t="s">
        <v>9</v>
      </c>
      <c r="E127" s="0" t="str">
        <f aca="false">"291-302"</f>
        <v>291-302</v>
      </c>
      <c r="F127" s="0" t="s">
        <v>551</v>
      </c>
      <c r="G127" s="0" t="s">
        <v>9</v>
      </c>
      <c r="H127" s="0" t="str">
        <f aca="false">"101-112"</f>
        <v>101-112</v>
      </c>
      <c r="I127" s="0" t="s">
        <v>9</v>
      </c>
      <c r="J127" s="0" t="str">
        <f aca="false">"60-71"</f>
        <v>60-71</v>
      </c>
      <c r="K127" s="0" t="str">
        <f aca="false">"1.23"</f>
        <v>1.23</v>
      </c>
      <c r="L127" s="0" t="str">
        <f aca="false">"11.63"</f>
        <v>11.63</v>
      </c>
      <c r="M127" s="0" t="str">
        <f aca="false">"168.5"</f>
        <v>168.5</v>
      </c>
    </row>
    <row r="128" customFormat="false" ht="14.65" hidden="false" customHeight="false" outlineLevel="0" collapsed="false">
      <c r="A128" s="0" t="s">
        <v>2204</v>
      </c>
      <c r="B128" s="0" t="s">
        <v>9</v>
      </c>
      <c r="C128" s="0" t="str">
        <f aca="false">"267-278"</f>
        <v>267-278</v>
      </c>
      <c r="D128" s="0" t="s">
        <v>9</v>
      </c>
      <c r="E128" s="0" t="str">
        <f aca="false">"292-303"</f>
        <v>292-303</v>
      </c>
      <c r="F128" s="0" t="s">
        <v>2304</v>
      </c>
      <c r="G128" s="0" t="s">
        <v>9</v>
      </c>
      <c r="H128" s="0" t="str">
        <f aca="false">"272-283"</f>
        <v>272-283</v>
      </c>
      <c r="I128" s="0" t="s">
        <v>9</v>
      </c>
      <c r="J128" s="0" t="str">
        <f aca="false">"101-112"</f>
        <v>101-112</v>
      </c>
      <c r="K128" s="0" t="str">
        <f aca="false">"1.12"</f>
        <v>1.12</v>
      </c>
      <c r="L128" s="0" t="str">
        <f aca="false">"13.12"</f>
        <v>13.12</v>
      </c>
      <c r="M128" s="0" t="str">
        <f aca="false">"168.7"</f>
        <v>168.7</v>
      </c>
    </row>
    <row r="129" customFormat="false" ht="14.65" hidden="false" customHeight="false" outlineLevel="0" collapsed="false">
      <c r="A129" s="0" t="s">
        <v>2204</v>
      </c>
      <c r="B129" s="0" t="s">
        <v>9</v>
      </c>
      <c r="C129" s="0" t="str">
        <f aca="false">"271-282"</f>
        <v>271-282</v>
      </c>
      <c r="D129" s="0" t="s">
        <v>9</v>
      </c>
      <c r="E129" s="0" t="str">
        <f aca="false">"291-302"</f>
        <v>291-302</v>
      </c>
      <c r="F129" s="0" t="s">
        <v>2305</v>
      </c>
      <c r="G129" s="0" t="s">
        <v>9</v>
      </c>
      <c r="H129" s="0" t="str">
        <f aca="false">"840-851"</f>
        <v>840-851</v>
      </c>
      <c r="I129" s="0" t="s">
        <v>9</v>
      </c>
      <c r="J129" s="0" t="str">
        <f aca="false">"1026-1037"</f>
        <v>1026-1037</v>
      </c>
      <c r="K129" s="0" t="str">
        <f aca="false">"1.02"</f>
        <v>1.02</v>
      </c>
      <c r="L129" s="0" t="str">
        <f aca="false">"11.19"</f>
        <v>11.19</v>
      </c>
      <c r="M129" s="0" t="str">
        <f aca="false">"169.3"</f>
        <v>169.3</v>
      </c>
    </row>
    <row r="130" customFormat="false" ht="14.65" hidden="false" customHeight="false" outlineLevel="0" collapsed="false">
      <c r="A130" s="0" t="s">
        <v>2204</v>
      </c>
      <c r="B130" s="0" t="s">
        <v>9</v>
      </c>
      <c r="C130" s="0" t="str">
        <f aca="false">"268-279"</f>
        <v>268-279</v>
      </c>
      <c r="D130" s="0" t="s">
        <v>9</v>
      </c>
      <c r="E130" s="0" t="str">
        <f aca="false">"294-305"</f>
        <v>294-305</v>
      </c>
      <c r="F130" s="0" t="s">
        <v>2231</v>
      </c>
      <c r="G130" s="0" t="s">
        <v>9</v>
      </c>
      <c r="H130" s="0" t="str">
        <f aca="false">"301-312"</f>
        <v>301-312</v>
      </c>
      <c r="I130" s="0" t="s">
        <v>9</v>
      </c>
      <c r="J130" s="0" t="str">
        <f aca="false">"281-292"</f>
        <v>281-292</v>
      </c>
      <c r="K130" s="0" t="str">
        <f aca="false">"0.91"</f>
        <v>0.91</v>
      </c>
      <c r="L130" s="0" t="str">
        <f aca="false">"10.95"</f>
        <v>10.95</v>
      </c>
      <c r="M130" s="0" t="str">
        <f aca="false">"169.6"</f>
        <v>169.6</v>
      </c>
    </row>
    <row r="131" customFormat="false" ht="14.65" hidden="false" customHeight="false" outlineLevel="0" collapsed="false">
      <c r="A131" s="0" t="s">
        <v>2204</v>
      </c>
      <c r="B131" s="0" t="s">
        <v>9</v>
      </c>
      <c r="C131" s="0" t="str">
        <f aca="false">"271-282"</f>
        <v>271-282</v>
      </c>
      <c r="D131" s="0" t="s">
        <v>9</v>
      </c>
      <c r="E131" s="0" t="str">
        <f aca="false">"291-302"</f>
        <v>291-302</v>
      </c>
      <c r="F131" s="0" t="s">
        <v>2306</v>
      </c>
      <c r="G131" s="0" t="s">
        <v>70</v>
      </c>
      <c r="H131" s="0" t="str">
        <f aca="false">"51-62"</f>
        <v>51-62</v>
      </c>
      <c r="I131" s="0" t="s">
        <v>9</v>
      </c>
      <c r="J131" s="0" t="str">
        <f aca="false">"41-52"</f>
        <v>41-52</v>
      </c>
      <c r="K131" s="0" t="str">
        <f aca="false">"1.17"</f>
        <v>1.17</v>
      </c>
      <c r="L131" s="0" t="str">
        <f aca="false">"12.23"</f>
        <v>12.23</v>
      </c>
      <c r="M131" s="0" t="str">
        <f aca="false">"169.9"</f>
        <v>169.9</v>
      </c>
    </row>
    <row r="132" customFormat="false" ht="14.65" hidden="false" customHeight="false" outlineLevel="0" collapsed="false">
      <c r="A132" s="0" t="s">
        <v>2204</v>
      </c>
      <c r="B132" s="0" t="s">
        <v>9</v>
      </c>
      <c r="C132" s="0" t="str">
        <f aca="false">"264-275"</f>
        <v>264-275</v>
      </c>
      <c r="D132" s="0" t="s">
        <v>9</v>
      </c>
      <c r="E132" s="0" t="str">
        <f aca="false">"298-309"</f>
        <v>298-309</v>
      </c>
      <c r="F132" s="0" t="s">
        <v>2307</v>
      </c>
      <c r="G132" s="0" t="s">
        <v>9</v>
      </c>
      <c r="H132" s="0" t="str">
        <f aca="false">"55-66"</f>
        <v>55-66</v>
      </c>
      <c r="I132" s="0" t="s">
        <v>13</v>
      </c>
      <c r="J132" s="0" t="str">
        <f aca="false">"154-165"</f>
        <v>154-165</v>
      </c>
      <c r="K132" s="0" t="str">
        <f aca="false">"1.19"</f>
        <v>1.19</v>
      </c>
      <c r="L132" s="0" t="str">
        <f aca="false">"13.63"</f>
        <v>13.63</v>
      </c>
      <c r="M132" s="0" t="str">
        <f aca="false">"170.0"</f>
        <v>170.0</v>
      </c>
    </row>
    <row r="133" customFormat="false" ht="14.65" hidden="false" customHeight="false" outlineLevel="0" collapsed="false">
      <c r="A133" s="0" t="s">
        <v>2204</v>
      </c>
      <c r="B133" s="0" t="s">
        <v>9</v>
      </c>
      <c r="C133" s="0" t="str">
        <f aca="false">"271-282"</f>
        <v>271-282</v>
      </c>
      <c r="D133" s="0" t="s">
        <v>9</v>
      </c>
      <c r="E133" s="0" t="str">
        <f aca="false">"291-302"</f>
        <v>291-302</v>
      </c>
      <c r="F133" s="0" t="s">
        <v>1448</v>
      </c>
      <c r="G133" s="0" t="s">
        <v>9</v>
      </c>
      <c r="H133" s="0" t="str">
        <f aca="false">"217-228"</f>
        <v>217-228</v>
      </c>
      <c r="I133" s="0" t="s">
        <v>9</v>
      </c>
      <c r="J133" s="0" t="str">
        <f aca="false">"115-126"</f>
        <v>115-126</v>
      </c>
      <c r="K133" s="0" t="str">
        <f aca="false">"0.95"</f>
        <v>0.95</v>
      </c>
      <c r="L133" s="0" t="str">
        <f aca="false">"11.57"</f>
        <v>11.57</v>
      </c>
      <c r="M133" s="0" t="str">
        <f aca="false">"170.3"</f>
        <v>170.3</v>
      </c>
    </row>
    <row r="134" customFormat="false" ht="14.65" hidden="false" customHeight="false" outlineLevel="0" collapsed="false">
      <c r="A134" s="0" t="s">
        <v>2204</v>
      </c>
      <c r="B134" s="0" t="s">
        <v>9</v>
      </c>
      <c r="C134" s="0" t="str">
        <f aca="false">"267-278"</f>
        <v>267-278</v>
      </c>
      <c r="D134" s="0" t="s">
        <v>9</v>
      </c>
      <c r="E134" s="0" t="str">
        <f aca="false">"295-306"</f>
        <v>295-306</v>
      </c>
      <c r="F134" s="0" t="s">
        <v>2308</v>
      </c>
      <c r="G134" s="0" t="s">
        <v>9</v>
      </c>
      <c r="H134" s="0" t="str">
        <f aca="false">"132-143"</f>
        <v>132-143</v>
      </c>
      <c r="I134" s="0" t="s">
        <v>9</v>
      </c>
      <c r="J134" s="0" t="str">
        <f aca="false">"112-123"</f>
        <v>112-123</v>
      </c>
      <c r="K134" s="0" t="str">
        <f aca="false">"1.20"</f>
        <v>1.20</v>
      </c>
      <c r="L134" s="0" t="str">
        <f aca="false">"13.29"</f>
        <v>13.29</v>
      </c>
      <c r="M134" s="0" t="str">
        <f aca="false">"170.6"</f>
        <v>170.6</v>
      </c>
    </row>
    <row r="135" customFormat="false" ht="14.65" hidden="false" customHeight="false" outlineLevel="0" collapsed="false">
      <c r="A135" s="0" t="s">
        <v>2204</v>
      </c>
      <c r="B135" s="0" t="s">
        <v>9</v>
      </c>
      <c r="C135" s="0" t="str">
        <f aca="false">"271-282"</f>
        <v>271-282</v>
      </c>
      <c r="D135" s="0" t="s">
        <v>9</v>
      </c>
      <c r="E135" s="0" t="str">
        <f aca="false">"291-302"</f>
        <v>291-302</v>
      </c>
      <c r="F135" s="0" t="s">
        <v>1434</v>
      </c>
      <c r="G135" s="0" t="s">
        <v>9</v>
      </c>
      <c r="H135" s="0" t="str">
        <f aca="false">"586-597"</f>
        <v>586-597</v>
      </c>
      <c r="I135" s="0" t="s">
        <v>9</v>
      </c>
      <c r="J135" s="0" t="str">
        <f aca="false">"500-511"</f>
        <v>500-511</v>
      </c>
      <c r="K135" s="0" t="str">
        <f aca="false">"1.23"</f>
        <v>1.23</v>
      </c>
      <c r="L135" s="0" t="str">
        <f aca="false">"11.72"</f>
        <v>11.72</v>
      </c>
      <c r="M135" s="0" t="str">
        <f aca="false">"171.8"</f>
        <v>171.8</v>
      </c>
    </row>
    <row r="136" customFormat="false" ht="14.65" hidden="false" customHeight="false" outlineLevel="0" collapsed="false">
      <c r="A136" s="0" t="s">
        <v>2204</v>
      </c>
      <c r="B136" s="0" t="s">
        <v>9</v>
      </c>
      <c r="C136" s="0" t="str">
        <f aca="false">"271-282"</f>
        <v>271-282</v>
      </c>
      <c r="D136" s="0" t="s">
        <v>9</v>
      </c>
      <c r="E136" s="0" t="str">
        <f aca="false">"291-302"</f>
        <v>291-302</v>
      </c>
      <c r="F136" s="0" t="s">
        <v>2233</v>
      </c>
      <c r="G136" s="0" t="s">
        <v>13</v>
      </c>
      <c r="H136" s="0" t="str">
        <f aca="false">"87-98"</f>
        <v>87-98</v>
      </c>
      <c r="I136" s="0" t="s">
        <v>13</v>
      </c>
      <c r="J136" s="0" t="str">
        <f aca="false">"7-18"</f>
        <v>7-18</v>
      </c>
      <c r="K136" s="0" t="str">
        <f aca="false">"0.72"</f>
        <v>0.72</v>
      </c>
      <c r="L136" s="0" t="str">
        <f aca="false">"10.95"</f>
        <v>10.95</v>
      </c>
      <c r="M136" s="0" t="str">
        <f aca="false">"172.0"</f>
        <v>172.0</v>
      </c>
    </row>
    <row r="137" customFormat="false" ht="14.65" hidden="false" customHeight="false" outlineLevel="0" collapsed="false">
      <c r="A137" s="0" t="s">
        <v>2204</v>
      </c>
      <c r="B137" s="0" t="s">
        <v>9</v>
      </c>
      <c r="C137" s="0" t="str">
        <f aca="false">"271-282"</f>
        <v>271-282</v>
      </c>
      <c r="D137" s="0" t="s">
        <v>9</v>
      </c>
      <c r="E137" s="0" t="str">
        <f aca="false">"291-302"</f>
        <v>291-302</v>
      </c>
      <c r="F137" s="0" t="s">
        <v>498</v>
      </c>
      <c r="G137" s="0" t="s">
        <v>13</v>
      </c>
      <c r="H137" s="0" t="str">
        <f aca="false">"147-158"</f>
        <v>147-158</v>
      </c>
      <c r="I137" s="0" t="s">
        <v>13</v>
      </c>
      <c r="J137" s="0" t="str">
        <f aca="false">"231-242"</f>
        <v>231-242</v>
      </c>
      <c r="K137" s="0" t="str">
        <f aca="false">"1.17"</f>
        <v>1.17</v>
      </c>
      <c r="L137" s="0" t="str">
        <f aca="false">"10.66"</f>
        <v>10.66</v>
      </c>
      <c r="M137" s="0" t="str">
        <f aca="false">"172.5"</f>
        <v>172.5</v>
      </c>
    </row>
    <row r="138" customFormat="false" ht="14.65" hidden="false" customHeight="false" outlineLevel="0" collapsed="false">
      <c r="A138" s="0" t="s">
        <v>2204</v>
      </c>
      <c r="B138" s="0" t="s">
        <v>9</v>
      </c>
      <c r="C138" s="0" t="str">
        <f aca="false">"271-282"</f>
        <v>271-282</v>
      </c>
      <c r="D138" s="0" t="s">
        <v>9</v>
      </c>
      <c r="E138" s="0" t="str">
        <f aca="false">"291-302"</f>
        <v>291-302</v>
      </c>
      <c r="F138" s="0" t="s">
        <v>1424</v>
      </c>
      <c r="G138" s="0" t="s">
        <v>9</v>
      </c>
      <c r="H138" s="0" t="str">
        <f aca="false">"223-234"</f>
        <v>223-234</v>
      </c>
      <c r="I138" s="0" t="s">
        <v>9</v>
      </c>
      <c r="J138" s="0" t="str">
        <f aca="false">"140-151"</f>
        <v>140-151</v>
      </c>
      <c r="K138" s="0" t="str">
        <f aca="false">"1.25"</f>
        <v>1.25</v>
      </c>
      <c r="L138" s="0" t="str">
        <f aca="false">"11.18"</f>
        <v>11.18</v>
      </c>
      <c r="M138" s="0" t="str">
        <f aca="false">"172.9"</f>
        <v>172.9</v>
      </c>
    </row>
    <row r="139" customFormat="false" ht="14.65" hidden="false" customHeight="false" outlineLevel="0" collapsed="false">
      <c r="A139" s="0" t="s">
        <v>2204</v>
      </c>
      <c r="B139" s="0" t="s">
        <v>9</v>
      </c>
      <c r="C139" s="0" t="str">
        <f aca="false">"271-282"</f>
        <v>271-282</v>
      </c>
      <c r="D139" s="0" t="s">
        <v>9</v>
      </c>
      <c r="E139" s="0" t="str">
        <f aca="false">"291-302"</f>
        <v>291-302</v>
      </c>
      <c r="F139" s="0" t="s">
        <v>2309</v>
      </c>
      <c r="G139" s="0" t="s">
        <v>120</v>
      </c>
      <c r="H139" s="0" t="str">
        <f aca="false">"282-293"</f>
        <v>282-293</v>
      </c>
      <c r="I139" s="0" t="s">
        <v>120</v>
      </c>
      <c r="J139" s="0" t="str">
        <f aca="false">"106-117"</f>
        <v>106-117</v>
      </c>
      <c r="K139" s="0" t="str">
        <f aca="false">"1.17"</f>
        <v>1.17</v>
      </c>
      <c r="L139" s="0" t="str">
        <f aca="false">"12.59"</f>
        <v>12.59</v>
      </c>
      <c r="M139" s="0" t="str">
        <f aca="false">"172.9"</f>
        <v>172.9</v>
      </c>
    </row>
    <row r="140" customFormat="false" ht="14.65" hidden="false" customHeight="false" outlineLevel="0" collapsed="false">
      <c r="A140" s="0" t="s">
        <v>2204</v>
      </c>
      <c r="B140" s="0" t="s">
        <v>9</v>
      </c>
      <c r="C140" s="0" t="str">
        <f aca="false">"271-282"</f>
        <v>271-282</v>
      </c>
      <c r="D140" s="0" t="s">
        <v>9</v>
      </c>
      <c r="E140" s="0" t="str">
        <f aca="false">"291-302"</f>
        <v>291-302</v>
      </c>
      <c r="F140" s="0" t="s">
        <v>2310</v>
      </c>
      <c r="G140" s="0" t="s">
        <v>9</v>
      </c>
      <c r="H140" s="0" t="str">
        <f aca="false">"255-266"</f>
        <v>255-266</v>
      </c>
      <c r="I140" s="0" t="s">
        <v>9</v>
      </c>
      <c r="J140" s="0" t="str">
        <f aca="false">"298-309"</f>
        <v>298-309</v>
      </c>
      <c r="K140" s="0" t="str">
        <f aca="false">"1.21"</f>
        <v>1.21</v>
      </c>
      <c r="L140" s="0" t="str">
        <f aca="false">"13.45"</f>
        <v>13.45</v>
      </c>
      <c r="M140" s="0" t="str">
        <f aca="false">"173.5"</f>
        <v>173.5</v>
      </c>
    </row>
    <row r="141" customFormat="false" ht="14.65" hidden="false" customHeight="false" outlineLevel="0" collapsed="false">
      <c r="A141" s="0" t="s">
        <v>2204</v>
      </c>
      <c r="B141" s="0" t="s">
        <v>9</v>
      </c>
      <c r="C141" s="0" t="str">
        <f aca="false">"271-282"</f>
        <v>271-282</v>
      </c>
      <c r="D141" s="0" t="s">
        <v>9</v>
      </c>
      <c r="E141" s="0" t="str">
        <f aca="false">"291-302"</f>
        <v>291-302</v>
      </c>
      <c r="F141" s="0" t="s">
        <v>2311</v>
      </c>
      <c r="G141" s="0" t="s">
        <v>13</v>
      </c>
      <c r="H141" s="0" t="str">
        <f aca="false">"21-32"</f>
        <v>21-32</v>
      </c>
      <c r="I141" s="0" t="s">
        <v>120</v>
      </c>
      <c r="J141" s="0" t="str">
        <f aca="false">"33-44"</f>
        <v>33-44</v>
      </c>
      <c r="K141" s="0" t="str">
        <f aca="false">"0.91"</f>
        <v>0.91</v>
      </c>
      <c r="L141" s="0" t="str">
        <f aca="false">"12.46"</f>
        <v>12.46</v>
      </c>
      <c r="M141" s="0" t="str">
        <f aca="false">"173.6"</f>
        <v>173.6</v>
      </c>
    </row>
    <row r="142" customFormat="false" ht="14.65" hidden="false" customHeight="false" outlineLevel="0" collapsed="false">
      <c r="A142" s="0" t="s">
        <v>2204</v>
      </c>
      <c r="B142" s="0" t="s">
        <v>9</v>
      </c>
      <c r="C142" s="0" t="str">
        <f aca="false">"271-282"</f>
        <v>271-282</v>
      </c>
      <c r="D142" s="0" t="s">
        <v>9</v>
      </c>
      <c r="E142" s="0" t="str">
        <f aca="false">"291-302"</f>
        <v>291-302</v>
      </c>
      <c r="F142" s="0" t="s">
        <v>1391</v>
      </c>
      <c r="G142" s="0" t="s">
        <v>9</v>
      </c>
      <c r="H142" s="0" t="str">
        <f aca="false">"681-692"</f>
        <v>681-692</v>
      </c>
      <c r="I142" s="0" t="s">
        <v>9</v>
      </c>
      <c r="J142" s="0" t="str">
        <f aca="false">"797-808"</f>
        <v>797-808</v>
      </c>
      <c r="K142" s="0" t="str">
        <f aca="false">"0.90"</f>
        <v>0.90</v>
      </c>
      <c r="L142" s="0" t="str">
        <f aca="false">"11.89"</f>
        <v>11.89</v>
      </c>
      <c r="M142" s="0" t="str">
        <f aca="false">"173.7"</f>
        <v>173.7</v>
      </c>
    </row>
    <row r="143" customFormat="false" ht="14.65" hidden="false" customHeight="false" outlineLevel="0" collapsed="false">
      <c r="A143" s="0" t="s">
        <v>2204</v>
      </c>
      <c r="B143" s="0" t="s">
        <v>9</v>
      </c>
      <c r="C143" s="0" t="str">
        <f aca="false">"271-282"</f>
        <v>271-282</v>
      </c>
      <c r="D143" s="0" t="s">
        <v>9</v>
      </c>
      <c r="E143" s="0" t="str">
        <f aca="false">"291-302"</f>
        <v>291-302</v>
      </c>
      <c r="F143" s="0" t="s">
        <v>2209</v>
      </c>
      <c r="G143" s="0" t="s">
        <v>9</v>
      </c>
      <c r="H143" s="0" t="str">
        <f aca="false">"114-125"</f>
        <v>114-125</v>
      </c>
      <c r="I143" s="0" t="s">
        <v>9</v>
      </c>
      <c r="J143" s="0" t="str">
        <f aca="false">"338-349"</f>
        <v>338-349</v>
      </c>
      <c r="K143" s="0" t="str">
        <f aca="false">"1.06"</f>
        <v>1.06</v>
      </c>
      <c r="L143" s="0" t="str">
        <f aca="false">"10.05"</f>
        <v>10.05</v>
      </c>
      <c r="M143" s="0" t="str">
        <f aca="false">"173.9"</f>
        <v>173.9</v>
      </c>
    </row>
    <row r="144" customFormat="false" ht="14.65" hidden="false" customHeight="false" outlineLevel="0" collapsed="false">
      <c r="A144" s="0" t="s">
        <v>2204</v>
      </c>
      <c r="B144" s="0" t="s">
        <v>9</v>
      </c>
      <c r="C144" s="0" t="str">
        <f aca="false">"271-282"</f>
        <v>271-282</v>
      </c>
      <c r="D144" s="0" t="s">
        <v>9</v>
      </c>
      <c r="E144" s="0" t="str">
        <f aca="false">"291-302"</f>
        <v>291-302</v>
      </c>
      <c r="F144" s="0" t="s">
        <v>2312</v>
      </c>
      <c r="G144" s="0" t="s">
        <v>13</v>
      </c>
      <c r="H144" s="0" t="str">
        <f aca="false">"135-146"</f>
        <v>135-146</v>
      </c>
      <c r="I144" s="0" t="s">
        <v>9</v>
      </c>
      <c r="J144" s="0" t="str">
        <f aca="false">"28-39"</f>
        <v>28-39</v>
      </c>
      <c r="K144" s="0" t="str">
        <f aca="false">"0.94"</f>
        <v>0.94</v>
      </c>
      <c r="L144" s="0" t="str">
        <f aca="false">"11.24"</f>
        <v>11.24</v>
      </c>
      <c r="M144" s="0" t="str">
        <f aca="false">"174.1"</f>
        <v>174.1</v>
      </c>
    </row>
    <row r="145" customFormat="false" ht="14.65" hidden="false" customHeight="false" outlineLevel="0" collapsed="false">
      <c r="A145" s="0" t="s">
        <v>2204</v>
      </c>
      <c r="B145" s="0" t="s">
        <v>9</v>
      </c>
      <c r="C145" s="0" t="str">
        <f aca="false">"268-279"</f>
        <v>268-279</v>
      </c>
      <c r="D145" s="0" t="s">
        <v>9</v>
      </c>
      <c r="E145" s="0" t="str">
        <f aca="false">"292-303"</f>
        <v>292-303</v>
      </c>
      <c r="F145" s="0" t="s">
        <v>2313</v>
      </c>
      <c r="G145" s="0" t="s">
        <v>70</v>
      </c>
      <c r="H145" s="0" t="str">
        <f aca="false">"50-61"</f>
        <v>50-61</v>
      </c>
      <c r="I145" s="0" t="s">
        <v>70</v>
      </c>
      <c r="J145" s="0" t="str">
        <f aca="false">"116-127"</f>
        <v>116-127</v>
      </c>
      <c r="K145" s="0" t="str">
        <f aca="false">"1.10"</f>
        <v>1.10</v>
      </c>
      <c r="L145" s="0" t="str">
        <f aca="false">"11.99"</f>
        <v>11.99</v>
      </c>
      <c r="M145" s="0" t="str">
        <f aca="false">"174.3"</f>
        <v>174.3</v>
      </c>
    </row>
    <row r="146" customFormat="false" ht="14.65" hidden="false" customHeight="false" outlineLevel="0" collapsed="false">
      <c r="A146" s="0" t="s">
        <v>2204</v>
      </c>
      <c r="B146" s="0" t="s">
        <v>9</v>
      </c>
      <c r="C146" s="0" t="str">
        <f aca="false">"271-282"</f>
        <v>271-282</v>
      </c>
      <c r="D146" s="0" t="s">
        <v>9</v>
      </c>
      <c r="E146" s="0" t="str">
        <f aca="false">"291-302"</f>
        <v>291-302</v>
      </c>
      <c r="F146" s="0" t="s">
        <v>2314</v>
      </c>
      <c r="G146" s="0" t="s">
        <v>9</v>
      </c>
      <c r="H146" s="0" t="str">
        <f aca="false">"710-721"</f>
        <v>710-721</v>
      </c>
      <c r="I146" s="0" t="s">
        <v>9</v>
      </c>
      <c r="J146" s="0" t="str">
        <f aca="false">"527-538"</f>
        <v>527-538</v>
      </c>
      <c r="K146" s="0" t="str">
        <f aca="false">"1.07"</f>
        <v>1.07</v>
      </c>
      <c r="L146" s="0" t="str">
        <f aca="false">"11.97"</f>
        <v>11.97</v>
      </c>
      <c r="M146" s="0" t="str">
        <f aca="false">"174.3"</f>
        <v>174.3</v>
      </c>
    </row>
    <row r="147" customFormat="false" ht="14.65" hidden="false" customHeight="false" outlineLevel="0" collapsed="false">
      <c r="A147" s="0" t="s">
        <v>2204</v>
      </c>
      <c r="B147" s="0" t="s">
        <v>9</v>
      </c>
      <c r="C147" s="0" t="str">
        <f aca="false">"271-282"</f>
        <v>271-282</v>
      </c>
      <c r="D147" s="0" t="s">
        <v>9</v>
      </c>
      <c r="E147" s="0" t="str">
        <f aca="false">"291-302"</f>
        <v>291-302</v>
      </c>
      <c r="F147" s="0" t="s">
        <v>2225</v>
      </c>
      <c r="G147" s="0" t="s">
        <v>13</v>
      </c>
      <c r="H147" s="0" t="str">
        <f aca="false">"226-237"</f>
        <v>226-237</v>
      </c>
      <c r="I147" s="0" t="s">
        <v>13</v>
      </c>
      <c r="J147" s="0" t="str">
        <f aca="false">"210-221"</f>
        <v>210-221</v>
      </c>
      <c r="K147" s="0" t="str">
        <f aca="false">"0.97"</f>
        <v>0.97</v>
      </c>
      <c r="L147" s="0" t="str">
        <f aca="false">"10.88"</f>
        <v>10.88</v>
      </c>
      <c r="M147" s="0" t="str">
        <f aca="false">"174.6"</f>
        <v>174.6</v>
      </c>
    </row>
    <row r="148" customFormat="false" ht="14.65" hidden="false" customHeight="false" outlineLevel="0" collapsed="false">
      <c r="A148" s="0" t="s">
        <v>2204</v>
      </c>
      <c r="B148" s="0" t="s">
        <v>9</v>
      </c>
      <c r="C148" s="0" t="str">
        <f aca="false">"271-282"</f>
        <v>271-282</v>
      </c>
      <c r="D148" s="0" t="s">
        <v>9</v>
      </c>
      <c r="E148" s="0" t="str">
        <f aca="false">"289-300"</f>
        <v>289-300</v>
      </c>
      <c r="F148" s="0" t="s">
        <v>2315</v>
      </c>
      <c r="G148" s="0" t="s">
        <v>9</v>
      </c>
      <c r="H148" s="0" t="str">
        <f aca="false">"409-420"</f>
        <v>409-420</v>
      </c>
      <c r="I148" s="0" t="s">
        <v>9</v>
      </c>
      <c r="J148" s="0" t="str">
        <f aca="false">"388-399"</f>
        <v>388-399</v>
      </c>
      <c r="K148" s="0" t="str">
        <f aca="false">"1.18"</f>
        <v>1.18</v>
      </c>
      <c r="L148" s="0" t="str">
        <f aca="false">"11.08"</f>
        <v>11.08</v>
      </c>
      <c r="M148" s="0" t="str">
        <f aca="false">"175.1"</f>
        <v>175.1</v>
      </c>
    </row>
    <row r="149" customFormat="false" ht="14.65" hidden="false" customHeight="false" outlineLevel="0" collapsed="false">
      <c r="A149" s="0" t="s">
        <v>2204</v>
      </c>
      <c r="B149" s="0" t="s">
        <v>9</v>
      </c>
      <c r="C149" s="0" t="str">
        <f aca="false">"271-282"</f>
        <v>271-282</v>
      </c>
      <c r="D149" s="0" t="s">
        <v>9</v>
      </c>
      <c r="E149" s="0" t="str">
        <f aca="false">"291-302"</f>
        <v>291-302</v>
      </c>
      <c r="F149" s="0" t="s">
        <v>2316</v>
      </c>
      <c r="G149" s="0" t="s">
        <v>9</v>
      </c>
      <c r="H149" s="0" t="str">
        <f aca="false">"593-604"</f>
        <v>593-604</v>
      </c>
      <c r="I149" s="0" t="s">
        <v>9</v>
      </c>
      <c r="J149" s="0" t="str">
        <f aca="false">"725-736"</f>
        <v>725-736</v>
      </c>
      <c r="K149" s="0" t="str">
        <f aca="false">"1.25"</f>
        <v>1.25</v>
      </c>
      <c r="L149" s="0" t="str">
        <f aca="false">"12.05"</f>
        <v>12.05</v>
      </c>
      <c r="M149" s="0" t="str">
        <f aca="false">"175.3"</f>
        <v>175.3</v>
      </c>
    </row>
    <row r="150" customFormat="false" ht="14.65" hidden="false" customHeight="false" outlineLevel="0" collapsed="false">
      <c r="A150" s="0" t="s">
        <v>2204</v>
      </c>
      <c r="B150" s="0" t="s">
        <v>9</v>
      </c>
      <c r="C150" s="0" t="str">
        <f aca="false">"271-282"</f>
        <v>271-282</v>
      </c>
      <c r="D150" s="0" t="s">
        <v>9</v>
      </c>
      <c r="E150" s="0" t="str">
        <f aca="false">"291-302"</f>
        <v>291-302</v>
      </c>
      <c r="F150" s="0" t="s">
        <v>1357</v>
      </c>
      <c r="G150" s="0" t="s">
        <v>24</v>
      </c>
      <c r="H150" s="0" t="str">
        <f aca="false">"128-139"</f>
        <v>128-139</v>
      </c>
      <c r="I150" s="0" t="s">
        <v>24</v>
      </c>
      <c r="J150" s="0" t="str">
        <f aca="false">"165-176"</f>
        <v>165-176</v>
      </c>
      <c r="K150" s="0" t="str">
        <f aca="false">"1.01"</f>
        <v>1.01</v>
      </c>
      <c r="L150" s="0" t="str">
        <f aca="false">"9.77"</f>
        <v>9.77</v>
      </c>
      <c r="M150" s="0" t="str">
        <f aca="false">"175.4"</f>
        <v>175.4</v>
      </c>
    </row>
    <row r="151" customFormat="false" ht="14.65" hidden="false" customHeight="false" outlineLevel="0" collapsed="false">
      <c r="A151" s="0" t="s">
        <v>2204</v>
      </c>
      <c r="B151" s="0" t="s">
        <v>9</v>
      </c>
      <c r="C151" s="0" t="str">
        <f aca="false">"266-277"</f>
        <v>266-277</v>
      </c>
      <c r="D151" s="0" t="s">
        <v>9</v>
      </c>
      <c r="E151" s="0" t="str">
        <f aca="false">"291-302"</f>
        <v>291-302</v>
      </c>
      <c r="F151" s="0" t="s">
        <v>2317</v>
      </c>
      <c r="G151" s="0" t="s">
        <v>9</v>
      </c>
      <c r="H151" s="0" t="str">
        <f aca="false">"93-104"</f>
        <v>93-104</v>
      </c>
      <c r="I151" s="0" t="s">
        <v>9</v>
      </c>
      <c r="J151" s="0" t="str">
        <f aca="false">"139-150"</f>
        <v>139-150</v>
      </c>
      <c r="K151" s="0" t="str">
        <f aca="false">"1.24"</f>
        <v>1.24</v>
      </c>
      <c r="L151" s="0" t="str">
        <f aca="false">"15.03"</f>
        <v>15.03</v>
      </c>
      <c r="M151" s="0" t="str">
        <f aca="false">"175.6"</f>
        <v>175.6</v>
      </c>
    </row>
    <row r="152" customFormat="false" ht="14.65" hidden="false" customHeight="false" outlineLevel="0" collapsed="false">
      <c r="A152" s="0" t="s">
        <v>2204</v>
      </c>
      <c r="B152" s="0" t="s">
        <v>9</v>
      </c>
      <c r="C152" s="0" t="str">
        <f aca="false">"271-282"</f>
        <v>271-282</v>
      </c>
      <c r="D152" s="0" t="s">
        <v>9</v>
      </c>
      <c r="E152" s="0" t="str">
        <f aca="false">"291-302"</f>
        <v>291-302</v>
      </c>
      <c r="F152" s="0" t="s">
        <v>2318</v>
      </c>
      <c r="G152" s="0" t="s">
        <v>13</v>
      </c>
      <c r="H152" s="0" t="str">
        <f aca="false">"135-146"</f>
        <v>135-146</v>
      </c>
      <c r="I152" s="0" t="s">
        <v>13</v>
      </c>
      <c r="J152" s="0" t="str">
        <f aca="false">"86-97"</f>
        <v>86-97</v>
      </c>
      <c r="K152" s="0" t="str">
        <f aca="false">"0.98"</f>
        <v>0.98</v>
      </c>
      <c r="L152" s="0" t="str">
        <f aca="false">"11.91"</f>
        <v>11.91</v>
      </c>
      <c r="M152" s="0" t="str">
        <f aca="false">"176.1"</f>
        <v>176.1</v>
      </c>
    </row>
    <row r="153" customFormat="false" ht="14.65" hidden="false" customHeight="false" outlineLevel="0" collapsed="false">
      <c r="A153" s="0" t="s">
        <v>2204</v>
      </c>
      <c r="B153" s="0" t="s">
        <v>9</v>
      </c>
      <c r="C153" s="0" t="str">
        <f aca="false">"269-280"</f>
        <v>269-280</v>
      </c>
      <c r="D153" s="0" t="s">
        <v>9</v>
      </c>
      <c r="E153" s="0" t="str">
        <f aca="false">"290-301"</f>
        <v>290-301</v>
      </c>
      <c r="F153" s="0" t="s">
        <v>2319</v>
      </c>
      <c r="G153" s="0" t="s">
        <v>70</v>
      </c>
      <c r="H153" s="0" t="str">
        <f aca="false">"137-148"</f>
        <v>137-148</v>
      </c>
      <c r="I153" s="0" t="s">
        <v>70</v>
      </c>
      <c r="J153" s="0" t="str">
        <f aca="false">"31-42"</f>
        <v>31-42</v>
      </c>
      <c r="K153" s="0" t="str">
        <f aca="false">"1.10"</f>
        <v>1.10</v>
      </c>
      <c r="L153" s="0" t="str">
        <f aca="false">"12.43"</f>
        <v>12.43</v>
      </c>
      <c r="M153" s="0" t="str">
        <f aca="false">"176.6"</f>
        <v>176.6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1938775510204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9.65816326530612"/>
    <col collapsed="false" hidden="false" max="6" min="6" style="0" width="13.4336734693878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2320</v>
      </c>
      <c r="B2" s="0" t="s">
        <v>9</v>
      </c>
      <c r="C2" s="0" t="str">
        <f aca="false">"976-987"</f>
        <v>976-987</v>
      </c>
      <c r="D2" s="0" t="s">
        <v>9</v>
      </c>
      <c r="E2" s="0" t="str">
        <f aca="false">"1084-1095"</f>
        <v>1084-1095</v>
      </c>
      <c r="F2" s="0" t="s">
        <v>2321</v>
      </c>
      <c r="G2" s="0" t="s">
        <v>9</v>
      </c>
      <c r="H2" s="0" t="str">
        <f aca="false">"17-28"</f>
        <v>17-28</v>
      </c>
      <c r="I2" s="0" t="s">
        <v>9</v>
      </c>
      <c r="J2" s="0" t="str">
        <f aca="false">"105-116"</f>
        <v>105-116</v>
      </c>
      <c r="K2" s="0" t="str">
        <f aca="false">"1.06"</f>
        <v>1.06</v>
      </c>
      <c r="L2" s="0" t="str">
        <f aca="false">"10.33"</f>
        <v>10.33</v>
      </c>
      <c r="M2" s="0" t="str">
        <f aca="false">"-54.2"</f>
        <v>-54.2</v>
      </c>
    </row>
    <row r="3" customFormat="false" ht="12.8" hidden="false" customHeight="false" outlineLevel="0" collapsed="false">
      <c r="A3" s="0" t="s">
        <v>2320</v>
      </c>
      <c r="B3" s="0" t="s">
        <v>9</v>
      </c>
      <c r="C3" s="0" t="str">
        <f aca="false">"976-987"</f>
        <v>976-987</v>
      </c>
      <c r="D3" s="0" t="s">
        <v>9</v>
      </c>
      <c r="E3" s="0" t="str">
        <f aca="false">"1083-1094"</f>
        <v>1083-1094</v>
      </c>
      <c r="F3" s="0" t="s">
        <v>2322</v>
      </c>
      <c r="G3" s="0" t="s">
        <v>9</v>
      </c>
      <c r="H3" s="0" t="str">
        <f aca="false">"5-16"</f>
        <v>5-16</v>
      </c>
      <c r="I3" s="0" t="s">
        <v>13</v>
      </c>
      <c r="J3" s="0" t="str">
        <f aca="false">"74-85"</f>
        <v>74-85</v>
      </c>
      <c r="K3" s="0" t="str">
        <f aca="false">"1.09"</f>
        <v>1.09</v>
      </c>
      <c r="L3" s="0" t="str">
        <f aca="false">"10.60"</f>
        <v>10.60</v>
      </c>
      <c r="M3" s="0" t="str">
        <f aca="false">"-57.1"</f>
        <v>-57.1</v>
      </c>
    </row>
    <row r="4" customFormat="false" ht="12.8" hidden="false" customHeight="false" outlineLevel="0" collapsed="false">
      <c r="A4" s="0" t="s">
        <v>2320</v>
      </c>
      <c r="B4" s="0" t="s">
        <v>9</v>
      </c>
      <c r="C4" s="0" t="str">
        <f aca="false">"976-987"</f>
        <v>976-987</v>
      </c>
      <c r="D4" s="0" t="s">
        <v>9</v>
      </c>
      <c r="E4" s="0" t="str">
        <f aca="false">"1084-1095"</f>
        <v>1084-1095</v>
      </c>
      <c r="F4" s="0" t="s">
        <v>2323</v>
      </c>
      <c r="G4" s="0" t="s">
        <v>9</v>
      </c>
      <c r="H4" s="0" t="str">
        <f aca="false">"8-19"</f>
        <v>8-19</v>
      </c>
      <c r="I4" s="0" t="s">
        <v>9</v>
      </c>
      <c r="J4" s="0" t="str">
        <f aca="false">"50-61"</f>
        <v>50-61</v>
      </c>
      <c r="K4" s="0" t="str">
        <f aca="false">"0.99"</f>
        <v>0.99</v>
      </c>
      <c r="L4" s="0" t="str">
        <f aca="false">"9.95"</f>
        <v>9.95</v>
      </c>
      <c r="M4" s="0" t="str">
        <f aca="false">"-85.7"</f>
        <v>-85.7</v>
      </c>
    </row>
    <row r="5" customFormat="false" ht="12.8" hidden="false" customHeight="false" outlineLevel="0" collapsed="false">
      <c r="A5" s="0" t="s">
        <v>2320</v>
      </c>
      <c r="B5" s="0" t="s">
        <v>9</v>
      </c>
      <c r="C5" s="0" t="str">
        <f aca="false">"976-987"</f>
        <v>976-987</v>
      </c>
      <c r="D5" s="0" t="s">
        <v>9</v>
      </c>
      <c r="E5" s="0" t="str">
        <f aca="false">"1084-1095"</f>
        <v>1084-1095</v>
      </c>
      <c r="F5" s="0" t="s">
        <v>2324</v>
      </c>
      <c r="G5" s="0" t="s">
        <v>9</v>
      </c>
      <c r="H5" s="0" t="str">
        <f aca="false">"46-57"</f>
        <v>46-57</v>
      </c>
      <c r="I5" s="0" t="s">
        <v>9</v>
      </c>
      <c r="J5" s="0" t="str">
        <f aca="false">"105-116"</f>
        <v>105-116</v>
      </c>
      <c r="K5" s="0" t="str">
        <f aca="false">"0.95"</f>
        <v>0.95</v>
      </c>
      <c r="L5" s="0" t="str">
        <f aca="false">"9.41"</f>
        <v>9.41</v>
      </c>
      <c r="M5" s="0" t="str">
        <f aca="false">"-75.4"</f>
        <v>-75.4</v>
      </c>
    </row>
    <row r="6" customFormat="false" ht="12.8" hidden="false" customHeight="false" outlineLevel="0" collapsed="false">
      <c r="A6" s="0" t="s">
        <v>2320</v>
      </c>
      <c r="B6" s="0" t="s">
        <v>9</v>
      </c>
      <c r="C6" s="0" t="str">
        <f aca="false">"976-987"</f>
        <v>976-987</v>
      </c>
      <c r="D6" s="0" t="s">
        <v>9</v>
      </c>
      <c r="E6" s="0" t="str">
        <f aca="false">"1084-1095"</f>
        <v>1084-1095</v>
      </c>
      <c r="F6" s="0" t="s">
        <v>2325</v>
      </c>
      <c r="G6" s="0" t="s">
        <v>9</v>
      </c>
      <c r="H6" s="0" t="str">
        <f aca="false">"4-15"</f>
        <v>4-15</v>
      </c>
      <c r="I6" s="0" t="s">
        <v>9</v>
      </c>
      <c r="J6" s="0" t="str">
        <f aca="false">"47-58"</f>
        <v>47-58</v>
      </c>
      <c r="K6" s="0" t="str">
        <f aca="false">"1.11"</f>
        <v>1.11</v>
      </c>
      <c r="L6" s="0" t="str">
        <f aca="false">"9.90"</f>
        <v>9.90</v>
      </c>
      <c r="M6" s="0" t="str">
        <f aca="false">"-53.1"</f>
        <v>-53.1</v>
      </c>
    </row>
    <row r="7" customFormat="false" ht="12.8" hidden="false" customHeight="false" outlineLevel="0" collapsed="false">
      <c r="A7" s="0" t="s">
        <v>2320</v>
      </c>
      <c r="B7" s="0" t="s">
        <v>9</v>
      </c>
      <c r="C7" s="0" t="str">
        <f aca="false">"973-984"</f>
        <v>973-984</v>
      </c>
      <c r="D7" s="0" t="s">
        <v>9</v>
      </c>
      <c r="E7" s="0" t="str">
        <f aca="false">"1083-1094"</f>
        <v>1083-1094</v>
      </c>
      <c r="F7" s="0" t="s">
        <v>2326</v>
      </c>
      <c r="G7" s="0" t="s">
        <v>9</v>
      </c>
      <c r="H7" s="0" t="str">
        <f aca="false">"265-276"</f>
        <v>265-276</v>
      </c>
      <c r="I7" s="0" t="s">
        <v>9</v>
      </c>
      <c r="J7" s="0" t="str">
        <f aca="false">"199-210"</f>
        <v>199-210</v>
      </c>
      <c r="K7" s="0" t="str">
        <f aca="false">"0.98"</f>
        <v>0.98</v>
      </c>
      <c r="L7" s="0" t="str">
        <f aca="false">"10.92"</f>
        <v>10.92</v>
      </c>
      <c r="M7" s="0" t="str">
        <f aca="false">"-56.1"</f>
        <v>-56.1</v>
      </c>
    </row>
    <row r="8" customFormat="false" ht="12.8" hidden="false" customHeight="false" outlineLevel="0" collapsed="false">
      <c r="A8" s="0" t="s">
        <v>2320</v>
      </c>
      <c r="B8" s="0" t="s">
        <v>9</v>
      </c>
      <c r="C8" s="0" t="str">
        <f aca="false">"979-990"</f>
        <v>979-990</v>
      </c>
      <c r="D8" s="0" t="s">
        <v>9</v>
      </c>
      <c r="E8" s="0" t="str">
        <f aca="false">"1084-1095"</f>
        <v>1084-1095</v>
      </c>
      <c r="F8" s="0" t="s">
        <v>2327</v>
      </c>
      <c r="G8" s="0" t="s">
        <v>13</v>
      </c>
      <c r="H8" s="0" t="str">
        <f aca="false">"117-128"</f>
        <v>117-128</v>
      </c>
      <c r="I8" s="0" t="s">
        <v>9</v>
      </c>
      <c r="J8" s="0" t="str">
        <f aca="false">"20-31"</f>
        <v>20-31</v>
      </c>
      <c r="K8" s="0" t="str">
        <f aca="false">"1.25"</f>
        <v>1.25</v>
      </c>
      <c r="L8" s="0" t="str">
        <f aca="false">"10.73"</f>
        <v>10.73</v>
      </c>
      <c r="M8" s="0" t="str">
        <f aca="false">"-74.9"</f>
        <v>-74.9</v>
      </c>
    </row>
    <row r="9" customFormat="false" ht="12.8" hidden="false" customHeight="false" outlineLevel="0" collapsed="false">
      <c r="A9" s="0" t="s">
        <v>2320</v>
      </c>
      <c r="B9" s="0" t="s">
        <v>9</v>
      </c>
      <c r="C9" s="0" t="str">
        <f aca="false">"975-986"</f>
        <v>975-986</v>
      </c>
      <c r="D9" s="0" t="s">
        <v>9</v>
      </c>
      <c r="E9" s="0" t="str">
        <f aca="false">"1082-1093"</f>
        <v>1082-1093</v>
      </c>
      <c r="F9" s="0" t="s">
        <v>2328</v>
      </c>
      <c r="G9" s="0" t="s">
        <v>9</v>
      </c>
      <c r="H9" s="0" t="str">
        <f aca="false">"733-744"</f>
        <v>733-744</v>
      </c>
      <c r="I9" s="0" t="s">
        <v>9</v>
      </c>
      <c r="J9" s="0" t="str">
        <f aca="false">"701-712"</f>
        <v>701-712</v>
      </c>
      <c r="K9" s="0" t="str">
        <f aca="false">"0.89"</f>
        <v>0.89</v>
      </c>
      <c r="L9" s="0" t="str">
        <f aca="false">"10.66"</f>
        <v>10.66</v>
      </c>
      <c r="M9" s="0" t="str">
        <f aca="false">"-77.4"</f>
        <v>-77.4</v>
      </c>
    </row>
    <row r="10" customFormat="false" ht="12.8" hidden="false" customHeight="false" outlineLevel="0" collapsed="false">
      <c r="A10" s="0" t="s">
        <v>2320</v>
      </c>
      <c r="B10" s="0" t="s">
        <v>9</v>
      </c>
      <c r="C10" s="0" t="str">
        <f aca="false">"976-987"</f>
        <v>976-987</v>
      </c>
      <c r="D10" s="0" t="s">
        <v>9</v>
      </c>
      <c r="E10" s="0" t="str">
        <f aca="false">"1083-1094"</f>
        <v>1083-1094</v>
      </c>
      <c r="F10" s="0" t="s">
        <v>2329</v>
      </c>
      <c r="G10" s="0" t="s">
        <v>9</v>
      </c>
      <c r="H10" s="0" t="str">
        <f aca="false">"27-38"</f>
        <v>27-38</v>
      </c>
      <c r="I10" s="0" t="s">
        <v>9</v>
      </c>
      <c r="J10" s="0" t="str">
        <f aca="false">"96-107"</f>
        <v>96-107</v>
      </c>
      <c r="K10" s="0" t="str">
        <f aca="false">"1.14"</f>
        <v>1.14</v>
      </c>
      <c r="L10" s="0" t="str">
        <f aca="false">"9.89"</f>
        <v>9.89</v>
      </c>
      <c r="M10" s="0" t="str">
        <f aca="false">"-78.9"</f>
        <v>-78.9</v>
      </c>
    </row>
    <row r="11" customFormat="false" ht="12.8" hidden="false" customHeight="false" outlineLevel="0" collapsed="false">
      <c r="A11" s="0" t="s">
        <v>2320</v>
      </c>
      <c r="B11" s="0" t="s">
        <v>9</v>
      </c>
      <c r="C11" s="0" t="str">
        <f aca="false">"976-987"</f>
        <v>976-987</v>
      </c>
      <c r="D11" s="0" t="s">
        <v>9</v>
      </c>
      <c r="E11" s="0" t="str">
        <f aca="false">"1084-1095"</f>
        <v>1084-1095</v>
      </c>
      <c r="F11" s="0" t="s">
        <v>2330</v>
      </c>
      <c r="G11" s="0" t="s">
        <v>13</v>
      </c>
      <c r="H11" s="0" t="str">
        <f aca="false">"16-27"</f>
        <v>16-27</v>
      </c>
      <c r="I11" s="0" t="s">
        <v>13</v>
      </c>
      <c r="J11" s="0" t="str">
        <f aca="false">"58-69"</f>
        <v>58-69</v>
      </c>
      <c r="K11" s="0" t="str">
        <f aca="false">"1.06"</f>
        <v>1.06</v>
      </c>
      <c r="L11" s="0" t="str">
        <f aca="false">"9.68"</f>
        <v>9.68</v>
      </c>
      <c r="M11" s="0" t="str">
        <f aca="false">"-80.6"</f>
        <v>-80.6</v>
      </c>
    </row>
    <row r="12" customFormat="false" ht="12.8" hidden="false" customHeight="false" outlineLevel="0" collapsed="false">
      <c r="A12" s="0" t="s">
        <v>2320</v>
      </c>
      <c r="B12" s="0" t="s">
        <v>9</v>
      </c>
      <c r="C12" s="0" t="str">
        <f aca="false">"977-988"</f>
        <v>977-988</v>
      </c>
      <c r="D12" s="0" t="s">
        <v>9</v>
      </c>
      <c r="E12" s="0" t="str">
        <f aca="false">"1084-1095"</f>
        <v>1084-1095</v>
      </c>
      <c r="F12" s="0" t="s">
        <v>2331</v>
      </c>
      <c r="G12" s="0" t="s">
        <v>9</v>
      </c>
      <c r="H12" s="0" t="str">
        <f aca="false">"209-220"</f>
        <v>209-220</v>
      </c>
      <c r="I12" s="0" t="s">
        <v>9</v>
      </c>
      <c r="J12" s="0" t="str">
        <f aca="false">"384-395"</f>
        <v>384-395</v>
      </c>
      <c r="K12" s="0" t="str">
        <f aca="false">"1.10"</f>
        <v>1.10</v>
      </c>
      <c r="L12" s="0" t="str">
        <f aca="false">"9.39"</f>
        <v>9.39</v>
      </c>
      <c r="M12" s="0" t="str">
        <f aca="false">"-87.4"</f>
        <v>-87.4</v>
      </c>
    </row>
    <row r="13" customFormat="false" ht="12.8" hidden="false" customHeight="false" outlineLevel="0" collapsed="false">
      <c r="A13" s="0" t="s">
        <v>2320</v>
      </c>
      <c r="B13" s="0" t="s">
        <v>9</v>
      </c>
      <c r="C13" s="0" t="str">
        <f aca="false">"976-987"</f>
        <v>976-987</v>
      </c>
      <c r="D13" s="0" t="s">
        <v>9</v>
      </c>
      <c r="E13" s="0" t="str">
        <f aca="false">"1084-1095"</f>
        <v>1084-1095</v>
      </c>
      <c r="F13" s="0" t="s">
        <v>2332</v>
      </c>
      <c r="G13" s="0" t="s">
        <v>9</v>
      </c>
      <c r="H13" s="0" t="str">
        <f aca="false">"9-20"</f>
        <v>9-20</v>
      </c>
      <c r="I13" s="0" t="s">
        <v>9</v>
      </c>
      <c r="J13" s="0" t="str">
        <f aca="false">"51-62"</f>
        <v>51-62</v>
      </c>
      <c r="K13" s="0" t="str">
        <f aca="false">"1.17"</f>
        <v>1.17</v>
      </c>
      <c r="L13" s="0" t="str">
        <f aca="false">"9.65"</f>
        <v>9.65</v>
      </c>
      <c r="M13" s="0" t="str">
        <f aca="false">"-79.0"</f>
        <v>-79.0</v>
      </c>
    </row>
    <row r="14" customFormat="false" ht="12.8" hidden="false" customHeight="false" outlineLevel="0" collapsed="false">
      <c r="A14" s="0" t="s">
        <v>2320</v>
      </c>
      <c r="B14" s="0" t="s">
        <v>9</v>
      </c>
      <c r="C14" s="0" t="str">
        <f aca="false">"976-987"</f>
        <v>976-987</v>
      </c>
      <c r="D14" s="0" t="s">
        <v>9</v>
      </c>
      <c r="E14" s="0" t="str">
        <f aca="false">"1084-1095"</f>
        <v>1084-1095</v>
      </c>
      <c r="F14" s="0" t="s">
        <v>2333</v>
      </c>
      <c r="G14" s="0" t="s">
        <v>9</v>
      </c>
      <c r="H14" s="0" t="str">
        <f aca="false">"33-44"</f>
        <v>33-44</v>
      </c>
      <c r="I14" s="0" t="s">
        <v>9</v>
      </c>
      <c r="J14" s="0" t="str">
        <f aca="false">"93-104"</f>
        <v>93-104</v>
      </c>
      <c r="K14" s="0" t="str">
        <f aca="false">"0.90"</f>
        <v>0.90</v>
      </c>
      <c r="L14" s="0" t="str">
        <f aca="false">"10.46"</f>
        <v>10.46</v>
      </c>
      <c r="M14" s="0" t="str">
        <f aca="false">"-58.6"</f>
        <v>-58.6</v>
      </c>
    </row>
    <row r="15" customFormat="false" ht="12.8" hidden="false" customHeight="false" outlineLevel="0" collapsed="false">
      <c r="A15" s="0" t="s">
        <v>2320</v>
      </c>
      <c r="B15" s="0" t="s">
        <v>9</v>
      </c>
      <c r="C15" s="0" t="str">
        <f aca="false">"977-988"</f>
        <v>977-988</v>
      </c>
      <c r="D15" s="0" t="s">
        <v>9</v>
      </c>
      <c r="E15" s="0" t="str">
        <f aca="false">"1085-1096"</f>
        <v>1085-1096</v>
      </c>
      <c r="F15" s="0" t="s">
        <v>2334</v>
      </c>
      <c r="G15" s="0" t="s">
        <v>13</v>
      </c>
      <c r="H15" s="0" t="str">
        <f aca="false">"43-54"</f>
        <v>43-54</v>
      </c>
      <c r="I15" s="0" t="s">
        <v>13</v>
      </c>
      <c r="J15" s="0" t="str">
        <f aca="false">"101-112"</f>
        <v>101-112</v>
      </c>
      <c r="K15" s="0" t="str">
        <f aca="false">"1.12"</f>
        <v>1.12</v>
      </c>
      <c r="L15" s="0" t="str">
        <f aca="false">"10.57"</f>
        <v>10.57</v>
      </c>
      <c r="M15" s="0" t="str">
        <f aca="false">"-56.9"</f>
        <v>-56.9</v>
      </c>
    </row>
    <row r="16" customFormat="false" ht="12.8" hidden="false" customHeight="false" outlineLevel="0" collapsed="false">
      <c r="A16" s="0" t="s">
        <v>2320</v>
      </c>
      <c r="B16" s="0" t="s">
        <v>9</v>
      </c>
      <c r="C16" s="0" t="str">
        <f aca="false">"979-990"</f>
        <v>979-990</v>
      </c>
      <c r="D16" s="0" t="s">
        <v>9</v>
      </c>
      <c r="E16" s="0" t="str">
        <f aca="false">"1082-1093"</f>
        <v>1082-1093</v>
      </c>
      <c r="F16" s="0" t="s">
        <v>2335</v>
      </c>
      <c r="G16" s="0" t="s">
        <v>9</v>
      </c>
      <c r="H16" s="0" t="str">
        <f aca="false">"231-242"</f>
        <v>231-242</v>
      </c>
      <c r="I16" s="0" t="s">
        <v>9</v>
      </c>
      <c r="J16" s="0" t="str">
        <f aca="false">"81-92"</f>
        <v>81-92</v>
      </c>
      <c r="K16" s="0" t="str">
        <f aca="false">"0.94"</f>
        <v>0.94</v>
      </c>
      <c r="L16" s="0" t="str">
        <f aca="false">"11.71"</f>
        <v>11.71</v>
      </c>
      <c r="M16" s="0" t="str">
        <f aca="false">"-77.9"</f>
        <v>-77.9</v>
      </c>
    </row>
    <row r="17" customFormat="false" ht="12.8" hidden="false" customHeight="false" outlineLevel="0" collapsed="false">
      <c r="A17" s="0" t="s">
        <v>2320</v>
      </c>
      <c r="B17" s="0" t="s">
        <v>9</v>
      </c>
      <c r="C17" s="0" t="str">
        <f aca="false">"976-987"</f>
        <v>976-987</v>
      </c>
      <c r="D17" s="0" t="s">
        <v>9</v>
      </c>
      <c r="E17" s="0" t="str">
        <f aca="false">"1084-1095"</f>
        <v>1084-1095</v>
      </c>
      <c r="F17" s="0" t="s">
        <v>2336</v>
      </c>
      <c r="G17" s="0" t="s">
        <v>13</v>
      </c>
      <c r="H17" s="0" t="str">
        <f aca="false">"61-72"</f>
        <v>61-72</v>
      </c>
      <c r="I17" s="0" t="s">
        <v>13</v>
      </c>
      <c r="J17" s="0" t="str">
        <f aca="false">"150-161"</f>
        <v>150-161</v>
      </c>
      <c r="K17" s="0" t="str">
        <f aca="false">"0.94"</f>
        <v>0.94</v>
      </c>
      <c r="L17" s="0" t="str">
        <f aca="false">"10.76"</f>
        <v>10.76</v>
      </c>
      <c r="M17" s="0" t="str">
        <f aca="false">"-61.9"</f>
        <v>-61.9</v>
      </c>
    </row>
    <row r="18" customFormat="false" ht="12.8" hidden="false" customHeight="false" outlineLevel="0" collapsed="false">
      <c r="A18" s="0" t="s">
        <v>2320</v>
      </c>
      <c r="B18" s="0" t="s">
        <v>9</v>
      </c>
      <c r="C18" s="0" t="str">
        <f aca="false">"972-983"</f>
        <v>972-983</v>
      </c>
      <c r="D18" s="0" t="s">
        <v>9</v>
      </c>
      <c r="E18" s="0" t="str">
        <f aca="false">"1084-1095"</f>
        <v>1084-1095</v>
      </c>
      <c r="F18" s="0" t="s">
        <v>2337</v>
      </c>
      <c r="G18" s="0" t="s">
        <v>9</v>
      </c>
      <c r="H18" s="0" t="str">
        <f aca="false">"1013-1024"</f>
        <v>1013-1024</v>
      </c>
      <c r="I18" s="0" t="s">
        <v>9</v>
      </c>
      <c r="J18" s="0" t="str">
        <f aca="false">"1051-1062"</f>
        <v>1051-1062</v>
      </c>
      <c r="K18" s="0" t="str">
        <f aca="false">"1.06"</f>
        <v>1.06</v>
      </c>
      <c r="L18" s="0" t="str">
        <f aca="false">"12.12"</f>
        <v>12.12</v>
      </c>
      <c r="M18" s="0" t="str">
        <f aca="false">"-68.6"</f>
        <v>-68.6</v>
      </c>
    </row>
    <row r="19" customFormat="false" ht="12.8" hidden="false" customHeight="false" outlineLevel="0" collapsed="false">
      <c r="A19" s="0" t="s">
        <v>2320</v>
      </c>
      <c r="B19" s="0" t="s">
        <v>9</v>
      </c>
      <c r="C19" s="0" t="str">
        <f aca="false">"973-984"</f>
        <v>973-984</v>
      </c>
      <c r="D19" s="0" t="s">
        <v>9</v>
      </c>
      <c r="E19" s="0" t="str">
        <f aca="false">"1083-1094"</f>
        <v>1083-1094</v>
      </c>
      <c r="F19" s="0" t="s">
        <v>2338</v>
      </c>
      <c r="G19" s="0" t="s">
        <v>9</v>
      </c>
      <c r="H19" s="0" t="str">
        <f aca="false">"252-263"</f>
        <v>252-263</v>
      </c>
      <c r="I19" s="0" t="s">
        <v>9</v>
      </c>
      <c r="J19" s="0" t="str">
        <f aca="false">"177-188"</f>
        <v>177-188</v>
      </c>
      <c r="K19" s="0" t="str">
        <f aca="false">"1.12"</f>
        <v>1.12</v>
      </c>
      <c r="L19" s="0" t="str">
        <f aca="false">"11.81"</f>
        <v>11.81</v>
      </c>
      <c r="M19" s="0" t="str">
        <f aca="false">"-70.8"</f>
        <v>-70.8</v>
      </c>
    </row>
    <row r="20" customFormat="false" ht="12.8" hidden="false" customHeight="false" outlineLevel="0" collapsed="false">
      <c r="A20" s="0" t="s">
        <v>2320</v>
      </c>
      <c r="B20" s="0" t="s">
        <v>9</v>
      </c>
      <c r="C20" s="0" t="str">
        <f aca="false">"976-987"</f>
        <v>976-987</v>
      </c>
      <c r="D20" s="0" t="s">
        <v>9</v>
      </c>
      <c r="E20" s="0" t="str">
        <f aca="false">"1084-1095"</f>
        <v>1084-1095</v>
      </c>
      <c r="F20" s="0" t="s">
        <v>2339</v>
      </c>
      <c r="G20" s="0" t="s">
        <v>9</v>
      </c>
      <c r="H20" s="0" t="str">
        <f aca="false">"311-322"</f>
        <v>311-322</v>
      </c>
      <c r="I20" s="0" t="s">
        <v>9</v>
      </c>
      <c r="J20" s="0" t="str">
        <f aca="false">"347-358"</f>
        <v>347-358</v>
      </c>
      <c r="K20" s="0" t="str">
        <f aca="false">"0.78"</f>
        <v>0.78</v>
      </c>
      <c r="L20" s="0" t="str">
        <f aca="false">"9.82"</f>
        <v>9.82</v>
      </c>
      <c r="M20" s="0" t="str">
        <f aca="false">"-63.7"</f>
        <v>-63.7</v>
      </c>
    </row>
    <row r="21" customFormat="false" ht="12.8" hidden="false" customHeight="false" outlineLevel="0" collapsed="false">
      <c r="A21" s="0" t="s">
        <v>2320</v>
      </c>
      <c r="B21" s="0" t="s">
        <v>9</v>
      </c>
      <c r="C21" s="0" t="str">
        <f aca="false">"977-988"</f>
        <v>977-988</v>
      </c>
      <c r="D21" s="0" t="s">
        <v>9</v>
      </c>
      <c r="E21" s="0" t="str">
        <f aca="false">"1087-1098"</f>
        <v>1087-1098</v>
      </c>
      <c r="F21" s="0" t="s">
        <v>2340</v>
      </c>
      <c r="G21" s="0" t="s">
        <v>9</v>
      </c>
      <c r="H21" s="0" t="str">
        <f aca="false">"17-28"</f>
        <v>17-28</v>
      </c>
      <c r="I21" s="0" t="s">
        <v>9</v>
      </c>
      <c r="J21" s="0" t="str">
        <f aca="false">"69-80"</f>
        <v>69-80</v>
      </c>
      <c r="K21" s="0" t="str">
        <f aca="false">"1.14"</f>
        <v>1.14</v>
      </c>
      <c r="L21" s="0" t="str">
        <f aca="false">"11.67"</f>
        <v>11.67</v>
      </c>
      <c r="M21" s="0" t="str">
        <f aca="false">"-69.9"</f>
        <v>-69.9</v>
      </c>
    </row>
    <row r="22" customFormat="false" ht="12.8" hidden="false" customHeight="false" outlineLevel="0" collapsed="false">
      <c r="A22" s="0" t="s">
        <v>2320</v>
      </c>
      <c r="B22" s="0" t="s">
        <v>9</v>
      </c>
      <c r="C22" s="0" t="str">
        <f aca="false">"976-987"</f>
        <v>976-987</v>
      </c>
      <c r="D22" s="0" t="s">
        <v>9</v>
      </c>
      <c r="E22" s="0" t="str">
        <f aca="false">"1083-1094"</f>
        <v>1083-1094</v>
      </c>
      <c r="F22" s="0" t="s">
        <v>2341</v>
      </c>
      <c r="G22" s="0" t="s">
        <v>9</v>
      </c>
      <c r="H22" s="0" t="str">
        <f aca="false">"307-318"</f>
        <v>307-318</v>
      </c>
      <c r="I22" s="0" t="s">
        <v>9</v>
      </c>
      <c r="J22" s="0" t="str">
        <f aca="false">"336-347"</f>
        <v>336-347</v>
      </c>
      <c r="K22" s="0" t="str">
        <f aca="false">"0.99"</f>
        <v>0.99</v>
      </c>
      <c r="L22" s="0" t="str">
        <f aca="false">"11.41"</f>
        <v>11.41</v>
      </c>
      <c r="M22" s="0" t="str">
        <f aca="false">"-82.4"</f>
        <v>-82.4</v>
      </c>
    </row>
    <row r="23" customFormat="false" ht="12.8" hidden="false" customHeight="false" outlineLevel="0" collapsed="false">
      <c r="A23" s="0" t="s">
        <v>2320</v>
      </c>
      <c r="B23" s="0" t="s">
        <v>9</v>
      </c>
      <c r="C23" s="0" t="str">
        <f aca="false">"976-987"</f>
        <v>976-987</v>
      </c>
      <c r="D23" s="0" t="s">
        <v>9</v>
      </c>
      <c r="E23" s="0" t="str">
        <f aca="false">"1083-1094"</f>
        <v>1083-1094</v>
      </c>
      <c r="F23" s="0" t="s">
        <v>2342</v>
      </c>
      <c r="G23" s="0" t="s">
        <v>9</v>
      </c>
      <c r="H23" s="0" t="str">
        <f aca="false">"6-17"</f>
        <v>6-17</v>
      </c>
      <c r="I23" s="0" t="s">
        <v>9</v>
      </c>
      <c r="J23" s="0" t="str">
        <f aca="false">"36-47"</f>
        <v>36-47</v>
      </c>
      <c r="K23" s="0" t="str">
        <f aca="false">"0.99"</f>
        <v>0.99</v>
      </c>
      <c r="L23" s="0" t="str">
        <f aca="false">"11.47"</f>
        <v>11.47</v>
      </c>
      <c r="M23" s="0" t="str">
        <f aca="false">"-78.9"</f>
        <v>-78.9</v>
      </c>
    </row>
    <row r="24" customFormat="false" ht="12.8" hidden="false" customHeight="false" outlineLevel="0" collapsed="false">
      <c r="A24" s="0" t="s">
        <v>2320</v>
      </c>
      <c r="B24" s="0" t="s">
        <v>9</v>
      </c>
      <c r="C24" s="0" t="str">
        <f aca="false">"978-989"</f>
        <v>978-989</v>
      </c>
      <c r="D24" s="0" t="s">
        <v>9</v>
      </c>
      <c r="E24" s="0" t="str">
        <f aca="false">"1085-1096"</f>
        <v>1085-1096</v>
      </c>
      <c r="F24" s="0" t="s">
        <v>2343</v>
      </c>
      <c r="G24" s="0" t="s">
        <v>70</v>
      </c>
      <c r="H24" s="0" t="str">
        <f aca="false">"107-118"</f>
        <v>107-118</v>
      </c>
      <c r="I24" s="0" t="s">
        <v>70</v>
      </c>
      <c r="J24" s="0" t="str">
        <f aca="false">"62-73"</f>
        <v>62-73</v>
      </c>
      <c r="K24" s="0" t="str">
        <f aca="false">"0.94"</f>
        <v>0.94</v>
      </c>
      <c r="L24" s="0" t="str">
        <f aca="false">"10.37"</f>
        <v>10.37</v>
      </c>
      <c r="M24" s="0" t="str">
        <f aca="false">"-66.2"</f>
        <v>-66.2</v>
      </c>
    </row>
    <row r="25" customFormat="false" ht="12.8" hidden="false" customHeight="false" outlineLevel="0" collapsed="false">
      <c r="A25" s="0" t="s">
        <v>2320</v>
      </c>
      <c r="B25" s="0" t="s">
        <v>9</v>
      </c>
      <c r="C25" s="0" t="str">
        <f aca="false">"977-988"</f>
        <v>977-988</v>
      </c>
      <c r="D25" s="0" t="s">
        <v>9</v>
      </c>
      <c r="E25" s="0" t="str">
        <f aca="false">"1086-1097"</f>
        <v>1086-1097</v>
      </c>
      <c r="F25" s="0" t="s">
        <v>2344</v>
      </c>
      <c r="G25" s="0" t="s">
        <v>9</v>
      </c>
      <c r="H25" s="0" t="str">
        <f aca="false">"44-55"</f>
        <v>44-55</v>
      </c>
      <c r="I25" s="0" t="s">
        <v>9</v>
      </c>
      <c r="J25" s="0" t="str">
        <f aca="false">"12-23"</f>
        <v>12-23</v>
      </c>
      <c r="K25" s="0" t="str">
        <f aca="false">"1.07"</f>
        <v>1.07</v>
      </c>
      <c r="L25" s="0" t="str">
        <f aca="false">"10.84"</f>
        <v>10.84</v>
      </c>
      <c r="M25" s="0" t="str">
        <f aca="false">"-77.8"</f>
        <v>-77.8</v>
      </c>
    </row>
    <row r="26" customFormat="false" ht="12.8" hidden="false" customHeight="false" outlineLevel="0" collapsed="false">
      <c r="A26" s="0" t="s">
        <v>2320</v>
      </c>
      <c r="B26" s="0" t="s">
        <v>9</v>
      </c>
      <c r="C26" s="0" t="str">
        <f aca="false">"976-987"</f>
        <v>976-987</v>
      </c>
      <c r="D26" s="0" t="s">
        <v>9</v>
      </c>
      <c r="E26" s="0" t="str">
        <f aca="false">"1083-1094"</f>
        <v>1083-1094</v>
      </c>
      <c r="F26" s="0" t="s">
        <v>2345</v>
      </c>
      <c r="G26" s="0" t="s">
        <v>9</v>
      </c>
      <c r="H26" s="0" t="str">
        <f aca="false">"55-66"</f>
        <v>55-66</v>
      </c>
      <c r="I26" s="0" t="s">
        <v>9</v>
      </c>
      <c r="J26" s="0" t="str">
        <f aca="false">"17-28"</f>
        <v>17-28</v>
      </c>
      <c r="K26" s="0" t="str">
        <f aca="false">"1.24"</f>
        <v>1.24</v>
      </c>
      <c r="L26" s="0" t="str">
        <f aca="false">"12.15"</f>
        <v>12.15</v>
      </c>
      <c r="M26" s="0" t="str">
        <f aca="false">"-63.8"</f>
        <v>-63.8</v>
      </c>
    </row>
    <row r="27" customFormat="false" ht="12.8" hidden="false" customHeight="false" outlineLevel="0" collapsed="false">
      <c r="A27" s="0" t="s">
        <v>2320</v>
      </c>
      <c r="B27" s="0" t="s">
        <v>9</v>
      </c>
      <c r="C27" s="0" t="str">
        <f aca="false">"975-986"</f>
        <v>975-986</v>
      </c>
      <c r="D27" s="0" t="s">
        <v>9</v>
      </c>
      <c r="E27" s="0" t="str">
        <f aca="false">"1083-1094"</f>
        <v>1083-1094</v>
      </c>
      <c r="F27" s="0" t="s">
        <v>2346</v>
      </c>
      <c r="G27" s="0" t="s">
        <v>9</v>
      </c>
      <c r="H27" s="0" t="str">
        <f aca="false">"248-259"</f>
        <v>248-259</v>
      </c>
      <c r="I27" s="0" t="s">
        <v>9</v>
      </c>
      <c r="J27" s="0" t="str">
        <f aca="false">"215-226"</f>
        <v>215-226</v>
      </c>
      <c r="K27" s="0" t="str">
        <f aca="false">"0.67"</f>
        <v>0.67</v>
      </c>
      <c r="L27" s="0" t="str">
        <f aca="false">"10.39"</f>
        <v>10.39</v>
      </c>
      <c r="M27" s="0" t="str">
        <f aca="false">"-76.9"</f>
        <v>-76.9</v>
      </c>
    </row>
    <row r="28" customFormat="false" ht="12.8" hidden="false" customHeight="false" outlineLevel="0" collapsed="false">
      <c r="A28" s="0" t="s">
        <v>2320</v>
      </c>
      <c r="B28" s="0" t="s">
        <v>9</v>
      </c>
      <c r="C28" s="0" t="str">
        <f aca="false">"977-988"</f>
        <v>977-988</v>
      </c>
      <c r="D28" s="0" t="s">
        <v>9</v>
      </c>
      <c r="E28" s="0" t="str">
        <f aca="false">"1086-1097"</f>
        <v>1086-1097</v>
      </c>
      <c r="F28" s="0" t="s">
        <v>2347</v>
      </c>
      <c r="G28" s="0" t="s">
        <v>9</v>
      </c>
      <c r="H28" s="0" t="str">
        <f aca="false">"331-342"</f>
        <v>331-342</v>
      </c>
      <c r="I28" s="0" t="s">
        <v>9</v>
      </c>
      <c r="J28" s="0" t="str">
        <f aca="false">"287-298"</f>
        <v>287-298</v>
      </c>
      <c r="K28" s="0" t="str">
        <f aca="false">"1.23"</f>
        <v>1.23</v>
      </c>
      <c r="L28" s="0" t="str">
        <f aca="false">"10.34"</f>
        <v>10.34</v>
      </c>
      <c r="M28" s="0" t="str">
        <f aca="false">"-78.4"</f>
        <v>-78.4</v>
      </c>
    </row>
    <row r="29" customFormat="false" ht="12.8" hidden="false" customHeight="false" outlineLevel="0" collapsed="false">
      <c r="A29" s="0" t="s">
        <v>2320</v>
      </c>
      <c r="B29" s="0" t="s">
        <v>9</v>
      </c>
      <c r="C29" s="0" t="str">
        <f aca="false">"978-989"</f>
        <v>978-989</v>
      </c>
      <c r="D29" s="0" t="s">
        <v>9</v>
      </c>
      <c r="E29" s="0" t="str">
        <f aca="false">"1083-1094"</f>
        <v>1083-1094</v>
      </c>
      <c r="F29" s="0" t="s">
        <v>2348</v>
      </c>
      <c r="G29" s="0" t="s">
        <v>9</v>
      </c>
      <c r="H29" s="0" t="str">
        <f aca="false">"19-30"</f>
        <v>19-30</v>
      </c>
      <c r="I29" s="0" t="s">
        <v>9</v>
      </c>
      <c r="J29" s="0" t="str">
        <f aca="false">"49-60"</f>
        <v>49-60</v>
      </c>
      <c r="K29" s="0" t="str">
        <f aca="false">"0.91"</f>
        <v>0.91</v>
      </c>
      <c r="L29" s="0" t="str">
        <f aca="false">"10.99"</f>
        <v>10.99</v>
      </c>
      <c r="M29" s="0" t="str">
        <f aca="false">"-78.9"</f>
        <v>-78.9</v>
      </c>
    </row>
    <row r="30" customFormat="false" ht="12.8" hidden="false" customHeight="false" outlineLevel="0" collapsed="false">
      <c r="A30" s="0" t="s">
        <v>2320</v>
      </c>
      <c r="B30" s="0" t="s">
        <v>9</v>
      </c>
      <c r="C30" s="0" t="str">
        <f aca="false">"976-987"</f>
        <v>976-987</v>
      </c>
      <c r="D30" s="0" t="s">
        <v>9</v>
      </c>
      <c r="E30" s="0" t="str">
        <f aca="false">"1083-1094"</f>
        <v>1083-1094</v>
      </c>
      <c r="F30" s="0" t="s">
        <v>2349</v>
      </c>
      <c r="G30" s="0" t="s">
        <v>9</v>
      </c>
      <c r="H30" s="0" t="str">
        <f aca="false">"75-86"</f>
        <v>75-86</v>
      </c>
      <c r="I30" s="0" t="s">
        <v>9</v>
      </c>
      <c r="J30" s="0" t="str">
        <f aca="false">"118-129"</f>
        <v>118-129</v>
      </c>
      <c r="K30" s="0" t="str">
        <f aca="false">"0.66"</f>
        <v>0.66</v>
      </c>
      <c r="L30" s="0" t="str">
        <f aca="false">"10.47"</f>
        <v>10.47</v>
      </c>
      <c r="M30" s="0" t="str">
        <f aca="false">"-72.9"</f>
        <v>-72.9</v>
      </c>
    </row>
    <row r="31" customFormat="false" ht="12.8" hidden="false" customHeight="false" outlineLevel="0" collapsed="false">
      <c r="A31" s="0" t="s">
        <v>2320</v>
      </c>
      <c r="B31" s="0" t="s">
        <v>9</v>
      </c>
      <c r="C31" s="0" t="str">
        <f aca="false">"974-985"</f>
        <v>974-985</v>
      </c>
      <c r="D31" s="0" t="s">
        <v>9</v>
      </c>
      <c r="E31" s="0" t="str">
        <f aca="false">"1084-1095"</f>
        <v>1084-1095</v>
      </c>
      <c r="F31" s="0" t="s">
        <v>2350</v>
      </c>
      <c r="G31" s="0" t="s">
        <v>71</v>
      </c>
      <c r="H31" s="0" t="str">
        <f aca="false">"434-445"</f>
        <v>434-445</v>
      </c>
      <c r="I31" s="0" t="s">
        <v>71</v>
      </c>
      <c r="J31" s="0" t="str">
        <f aca="false">"463-474"</f>
        <v>463-474</v>
      </c>
      <c r="K31" s="0" t="str">
        <f aca="false">"1.09"</f>
        <v>1.09</v>
      </c>
      <c r="L31" s="0" t="str">
        <f aca="false">"10.41"</f>
        <v>10.41</v>
      </c>
      <c r="M31" s="0" t="str">
        <f aca="false">"-63.8"</f>
        <v>-63.8</v>
      </c>
    </row>
    <row r="32" customFormat="false" ht="12.8" hidden="false" customHeight="false" outlineLevel="0" collapsed="false">
      <c r="A32" s="0" t="s">
        <v>2320</v>
      </c>
      <c r="B32" s="0" t="s">
        <v>9</v>
      </c>
      <c r="C32" s="0" t="str">
        <f aca="false">"975-986"</f>
        <v>975-986</v>
      </c>
      <c r="D32" s="0" t="s">
        <v>9</v>
      </c>
      <c r="E32" s="0" t="str">
        <f aca="false">"1084-1095"</f>
        <v>1084-1095</v>
      </c>
      <c r="F32" s="0" t="s">
        <v>2351</v>
      </c>
      <c r="G32" s="0" t="s">
        <v>9</v>
      </c>
      <c r="H32" s="0" t="str">
        <f aca="false">"449-460"</f>
        <v>449-460</v>
      </c>
      <c r="I32" s="0" t="s">
        <v>9</v>
      </c>
      <c r="J32" s="0" t="str">
        <f aca="false">"528-539"</f>
        <v>528-539</v>
      </c>
      <c r="K32" s="0" t="str">
        <f aca="false">"0.79"</f>
        <v>0.79</v>
      </c>
      <c r="L32" s="0" t="str">
        <f aca="false">"9.84"</f>
        <v>9.84</v>
      </c>
      <c r="M32" s="0" t="str">
        <f aca="false">"-61.0"</f>
        <v>-61.0</v>
      </c>
    </row>
    <row r="33" customFormat="false" ht="12.8" hidden="false" customHeight="false" outlineLevel="0" collapsed="false">
      <c r="A33" s="0" t="s">
        <v>2320</v>
      </c>
      <c r="B33" s="0" t="s">
        <v>9</v>
      </c>
      <c r="C33" s="0" t="str">
        <f aca="false">"976-987"</f>
        <v>976-987</v>
      </c>
      <c r="D33" s="0" t="s">
        <v>9</v>
      </c>
      <c r="E33" s="0" t="str">
        <f aca="false">"1084-1095"</f>
        <v>1084-1095</v>
      </c>
      <c r="F33" s="0" t="s">
        <v>2352</v>
      </c>
      <c r="G33" s="0" t="s">
        <v>13</v>
      </c>
      <c r="H33" s="0" t="str">
        <f aca="false">"206-217"</f>
        <v>206-217</v>
      </c>
      <c r="I33" s="0" t="s">
        <v>13</v>
      </c>
      <c r="J33" s="0" t="str">
        <f aca="false">"233-244"</f>
        <v>233-244</v>
      </c>
      <c r="K33" s="0" t="str">
        <f aca="false">"1.01"</f>
        <v>1.01</v>
      </c>
      <c r="L33" s="0" t="str">
        <f aca="false">"8.96"</f>
        <v>8.96</v>
      </c>
      <c r="M33" s="0" t="str">
        <f aca="false">"-65.7"</f>
        <v>-65.7</v>
      </c>
    </row>
    <row r="34" customFormat="false" ht="12.8" hidden="false" customHeight="false" outlineLevel="0" collapsed="false">
      <c r="A34" s="0" t="s">
        <v>2320</v>
      </c>
      <c r="B34" s="0" t="s">
        <v>9</v>
      </c>
      <c r="C34" s="0" t="str">
        <f aca="false">"972-983"</f>
        <v>972-983</v>
      </c>
      <c r="D34" s="0" t="s">
        <v>9</v>
      </c>
      <c r="E34" s="0" t="str">
        <f aca="false">"1083-1094"</f>
        <v>1083-1094</v>
      </c>
      <c r="F34" s="0" t="s">
        <v>2353</v>
      </c>
      <c r="G34" s="0" t="s">
        <v>9</v>
      </c>
      <c r="H34" s="0" t="str">
        <f aca="false">"286-297"</f>
        <v>286-297</v>
      </c>
      <c r="I34" s="0" t="s">
        <v>9</v>
      </c>
      <c r="J34" s="0" t="str">
        <f aca="false">"240-251"</f>
        <v>240-251</v>
      </c>
      <c r="K34" s="0" t="str">
        <f aca="false">"1.12"</f>
        <v>1.12</v>
      </c>
      <c r="L34" s="0" t="str">
        <f aca="false">"10.90"</f>
        <v>10.90</v>
      </c>
      <c r="M34" s="0" t="str">
        <f aca="false">"-71.0"</f>
        <v>-71.0</v>
      </c>
    </row>
    <row r="35" customFormat="false" ht="12.8" hidden="false" customHeight="false" outlineLevel="0" collapsed="false">
      <c r="A35" s="0" t="s">
        <v>2320</v>
      </c>
      <c r="B35" s="0" t="s">
        <v>9</v>
      </c>
      <c r="C35" s="0" t="str">
        <f aca="false">"979-990"</f>
        <v>979-990</v>
      </c>
      <c r="D35" s="0" t="s">
        <v>9</v>
      </c>
      <c r="E35" s="0" t="str">
        <f aca="false">"1084-1095"</f>
        <v>1084-1095</v>
      </c>
      <c r="F35" s="0" t="s">
        <v>2354</v>
      </c>
      <c r="G35" s="0" t="s">
        <v>9</v>
      </c>
      <c r="H35" s="0" t="str">
        <f aca="false">"59-70"</f>
        <v>59-70</v>
      </c>
      <c r="I35" s="0" t="s">
        <v>9</v>
      </c>
      <c r="J35" s="0" t="str">
        <f aca="false">"141-152"</f>
        <v>141-152</v>
      </c>
      <c r="K35" s="0" t="str">
        <f aca="false">"1.05"</f>
        <v>1.05</v>
      </c>
      <c r="L35" s="0" t="str">
        <f aca="false">"10.53"</f>
        <v>10.53</v>
      </c>
      <c r="M35" s="0" t="str">
        <f aca="false">"-57.7"</f>
        <v>-57.7</v>
      </c>
    </row>
    <row r="36" customFormat="false" ht="12.8" hidden="false" customHeight="false" outlineLevel="0" collapsed="false">
      <c r="A36" s="0" t="s">
        <v>2320</v>
      </c>
      <c r="B36" s="0" t="s">
        <v>9</v>
      </c>
      <c r="C36" s="0" t="str">
        <f aca="false">"976-987"</f>
        <v>976-987</v>
      </c>
      <c r="D36" s="0" t="s">
        <v>9</v>
      </c>
      <c r="E36" s="0" t="str">
        <f aca="false">"1084-1095"</f>
        <v>1084-1095</v>
      </c>
      <c r="F36" s="0" t="s">
        <v>2355</v>
      </c>
      <c r="G36" s="0" t="s">
        <v>9</v>
      </c>
      <c r="H36" s="0" t="str">
        <f aca="false">"387-398"</f>
        <v>387-398</v>
      </c>
      <c r="I36" s="0" t="s">
        <v>9</v>
      </c>
      <c r="J36" s="0" t="str">
        <f aca="false">"355-366"</f>
        <v>355-366</v>
      </c>
      <c r="K36" s="0" t="str">
        <f aca="false">"1.22"</f>
        <v>1.22</v>
      </c>
      <c r="L36" s="0" t="str">
        <f aca="false">"9.71"</f>
        <v>9.71</v>
      </c>
      <c r="M36" s="0" t="str">
        <f aca="false">"-57.2"</f>
        <v>-57.2</v>
      </c>
    </row>
    <row r="37" customFormat="false" ht="12.8" hidden="false" customHeight="false" outlineLevel="0" collapsed="false">
      <c r="A37" s="0" t="s">
        <v>2320</v>
      </c>
      <c r="B37" s="0" t="s">
        <v>9</v>
      </c>
      <c r="C37" s="0" t="str">
        <f aca="false">"978-989"</f>
        <v>978-989</v>
      </c>
      <c r="D37" s="0" t="s">
        <v>9</v>
      </c>
      <c r="E37" s="0" t="str">
        <f aca="false">"1084-1095"</f>
        <v>1084-1095</v>
      </c>
      <c r="F37" s="0" t="s">
        <v>2356</v>
      </c>
      <c r="G37" s="0" t="s">
        <v>24</v>
      </c>
      <c r="H37" s="0" t="str">
        <f aca="false">"245-256"</f>
        <v>245-256</v>
      </c>
      <c r="I37" s="0" t="s">
        <v>120</v>
      </c>
      <c r="J37" s="0" t="str">
        <f aca="false">"84-95"</f>
        <v>84-95</v>
      </c>
      <c r="K37" s="0" t="str">
        <f aca="false">"1.16"</f>
        <v>1.16</v>
      </c>
      <c r="L37" s="0" t="str">
        <f aca="false">"10.61"</f>
        <v>10.61</v>
      </c>
      <c r="M37" s="0" t="str">
        <f aca="false">"-72.5"</f>
        <v>-72.5</v>
      </c>
    </row>
    <row r="38" customFormat="false" ht="12.8" hidden="false" customHeight="false" outlineLevel="0" collapsed="false">
      <c r="A38" s="0" t="s">
        <v>2320</v>
      </c>
      <c r="B38" s="0" t="s">
        <v>9</v>
      </c>
      <c r="C38" s="0" t="str">
        <f aca="false">"978-989"</f>
        <v>978-989</v>
      </c>
      <c r="D38" s="0" t="s">
        <v>9</v>
      </c>
      <c r="E38" s="0" t="str">
        <f aca="false">"1083-1094"</f>
        <v>1083-1094</v>
      </c>
      <c r="F38" s="0" t="s">
        <v>2357</v>
      </c>
      <c r="G38" s="0" t="s">
        <v>9</v>
      </c>
      <c r="H38" s="0" t="str">
        <f aca="false">"296-307"</f>
        <v>296-307</v>
      </c>
      <c r="I38" s="0" t="s">
        <v>9</v>
      </c>
      <c r="J38" s="0" t="str">
        <f aca="false">"196-207"</f>
        <v>196-207</v>
      </c>
      <c r="K38" s="0" t="str">
        <f aca="false">"1.17"</f>
        <v>1.17</v>
      </c>
      <c r="L38" s="0" t="str">
        <f aca="false">"10.23"</f>
        <v>10.23</v>
      </c>
      <c r="M38" s="0" t="str">
        <f aca="false">"-74.7"</f>
        <v>-74.7</v>
      </c>
    </row>
    <row r="39" customFormat="false" ht="12.8" hidden="false" customHeight="false" outlineLevel="0" collapsed="false">
      <c r="A39" s="0" t="s">
        <v>2320</v>
      </c>
      <c r="B39" s="0" t="s">
        <v>9</v>
      </c>
      <c r="C39" s="0" t="str">
        <f aca="false">"978-989"</f>
        <v>978-989</v>
      </c>
      <c r="D39" s="0" t="s">
        <v>9</v>
      </c>
      <c r="E39" s="0" t="str">
        <f aca="false">"1084-1095"</f>
        <v>1084-1095</v>
      </c>
      <c r="F39" s="0" t="s">
        <v>2358</v>
      </c>
      <c r="G39" s="0" t="s">
        <v>9</v>
      </c>
      <c r="H39" s="0" t="str">
        <f aca="false">"163-174"</f>
        <v>163-174</v>
      </c>
      <c r="I39" s="0" t="s">
        <v>9</v>
      </c>
      <c r="J39" s="0" t="str">
        <f aca="false">"201-212"</f>
        <v>201-212</v>
      </c>
      <c r="K39" s="0" t="str">
        <f aca="false">"0.83"</f>
        <v>0.83</v>
      </c>
      <c r="L39" s="0" t="str">
        <f aca="false">"10.18"</f>
        <v>10.18</v>
      </c>
      <c r="M39" s="0" t="str">
        <f aca="false">"-83.4"</f>
        <v>-83.4</v>
      </c>
    </row>
    <row r="40" customFormat="false" ht="12.8" hidden="false" customHeight="false" outlineLevel="0" collapsed="false">
      <c r="A40" s="0" t="s">
        <v>2320</v>
      </c>
      <c r="B40" s="0" t="s">
        <v>9</v>
      </c>
      <c r="C40" s="0" t="str">
        <f aca="false">"977-988"</f>
        <v>977-988</v>
      </c>
      <c r="D40" s="0" t="s">
        <v>9</v>
      </c>
      <c r="E40" s="0" t="str">
        <f aca="false">"1085-1096"</f>
        <v>1085-1096</v>
      </c>
      <c r="F40" s="0" t="s">
        <v>2359</v>
      </c>
      <c r="G40" s="0" t="s">
        <v>13</v>
      </c>
      <c r="H40" s="0" t="str">
        <f aca="false">"196-207"</f>
        <v>196-207</v>
      </c>
      <c r="I40" s="0" t="s">
        <v>9</v>
      </c>
      <c r="J40" s="0" t="str">
        <f aca="false">"168-179"</f>
        <v>168-179</v>
      </c>
      <c r="K40" s="0" t="str">
        <f aca="false">"1.21"</f>
        <v>1.21</v>
      </c>
      <c r="L40" s="0" t="str">
        <f aca="false">"10.31"</f>
        <v>10.31</v>
      </c>
      <c r="M40" s="0" t="str">
        <f aca="false">"-70.1"</f>
        <v>-70.1</v>
      </c>
    </row>
    <row r="41" customFormat="false" ht="12.8" hidden="false" customHeight="false" outlineLevel="0" collapsed="false">
      <c r="A41" s="0" t="s">
        <v>2320</v>
      </c>
      <c r="B41" s="0" t="s">
        <v>9</v>
      </c>
      <c r="C41" s="0" t="str">
        <f aca="false">"976-987"</f>
        <v>976-987</v>
      </c>
      <c r="D41" s="0" t="s">
        <v>9</v>
      </c>
      <c r="E41" s="0" t="str">
        <f aca="false">"1084-1095"</f>
        <v>1084-1095</v>
      </c>
      <c r="F41" s="0" t="s">
        <v>2360</v>
      </c>
      <c r="G41" s="0" t="s">
        <v>9</v>
      </c>
      <c r="H41" s="0" t="str">
        <f aca="false">"13-24"</f>
        <v>13-24</v>
      </c>
      <c r="I41" s="0" t="s">
        <v>9</v>
      </c>
      <c r="J41" s="0" t="str">
        <f aca="false">"55-66"</f>
        <v>55-66</v>
      </c>
      <c r="K41" s="0" t="str">
        <f aca="false">"1.07"</f>
        <v>1.07</v>
      </c>
      <c r="L41" s="0" t="str">
        <f aca="false">"9.41"</f>
        <v>9.41</v>
      </c>
      <c r="M41" s="0" t="str">
        <f aca="false">"-81.1"</f>
        <v>-81.1</v>
      </c>
    </row>
    <row r="42" customFormat="false" ht="12.8" hidden="false" customHeight="false" outlineLevel="0" collapsed="false">
      <c r="A42" s="0" t="s">
        <v>2320</v>
      </c>
      <c r="B42" s="0" t="s">
        <v>9</v>
      </c>
      <c r="C42" s="0" t="str">
        <f aca="false">"976-987"</f>
        <v>976-987</v>
      </c>
      <c r="D42" s="0" t="s">
        <v>9</v>
      </c>
      <c r="E42" s="0" t="str">
        <f aca="false">"1084-1095"</f>
        <v>1084-1095</v>
      </c>
      <c r="F42" s="0" t="s">
        <v>2361</v>
      </c>
      <c r="G42" s="0" t="s">
        <v>9</v>
      </c>
      <c r="H42" s="0" t="str">
        <f aca="false">"5-16"</f>
        <v>5-16</v>
      </c>
      <c r="I42" s="0" t="s">
        <v>9</v>
      </c>
      <c r="J42" s="0" t="str">
        <f aca="false">"41-52"</f>
        <v>41-52</v>
      </c>
      <c r="K42" s="0" t="str">
        <f aca="false">"0.81"</f>
        <v>0.81</v>
      </c>
      <c r="L42" s="0" t="str">
        <f aca="false">"10.31"</f>
        <v>10.31</v>
      </c>
      <c r="M42" s="0" t="str">
        <f aca="false">"-83.7"</f>
        <v>-83.7</v>
      </c>
    </row>
    <row r="43" customFormat="false" ht="12.8" hidden="false" customHeight="false" outlineLevel="0" collapsed="false">
      <c r="A43" s="0" t="s">
        <v>2320</v>
      </c>
      <c r="B43" s="0" t="s">
        <v>9</v>
      </c>
      <c r="C43" s="0" t="str">
        <f aca="false">"978-989"</f>
        <v>978-989</v>
      </c>
      <c r="D43" s="0" t="s">
        <v>9</v>
      </c>
      <c r="E43" s="0" t="str">
        <f aca="false">"1085-1096"</f>
        <v>1085-1096</v>
      </c>
      <c r="F43" s="0" t="s">
        <v>2362</v>
      </c>
      <c r="G43" s="0" t="s">
        <v>9</v>
      </c>
      <c r="H43" s="0" t="str">
        <f aca="false">"71-82"</f>
        <v>71-82</v>
      </c>
      <c r="I43" s="0" t="s">
        <v>9</v>
      </c>
      <c r="J43" s="0" t="str">
        <f aca="false">"148-159"</f>
        <v>148-159</v>
      </c>
      <c r="K43" s="0" t="str">
        <f aca="false">"1.24"</f>
        <v>1.24</v>
      </c>
      <c r="L43" s="0" t="str">
        <f aca="false">"8.78"</f>
        <v>8.78</v>
      </c>
      <c r="M43" s="0" t="str">
        <f aca="false">"-72.7"</f>
        <v>-72.7</v>
      </c>
    </row>
    <row r="44" customFormat="false" ht="12.8" hidden="false" customHeight="false" outlineLevel="0" collapsed="false">
      <c r="A44" s="0" t="s">
        <v>2320</v>
      </c>
      <c r="B44" s="0" t="s">
        <v>9</v>
      </c>
      <c r="C44" s="0" t="str">
        <f aca="false">"976-987"</f>
        <v>976-987</v>
      </c>
      <c r="D44" s="0" t="s">
        <v>9</v>
      </c>
      <c r="E44" s="0" t="str">
        <f aca="false">"1083-1094"</f>
        <v>1083-1094</v>
      </c>
      <c r="F44" s="0" t="s">
        <v>2363</v>
      </c>
      <c r="G44" s="0" t="s">
        <v>9</v>
      </c>
      <c r="H44" s="0" t="str">
        <f aca="false">"5-16"</f>
        <v>5-16</v>
      </c>
      <c r="I44" s="0" t="s">
        <v>13</v>
      </c>
      <c r="J44" s="0" t="str">
        <f aca="false">"73-84"</f>
        <v>73-84</v>
      </c>
      <c r="K44" s="0" t="str">
        <f aca="false">"1.22"</f>
        <v>1.22</v>
      </c>
      <c r="L44" s="0" t="str">
        <f aca="false">"11.36"</f>
        <v>11.36</v>
      </c>
      <c r="M44" s="0" t="str">
        <f aca="false">"-75.8"</f>
        <v>-75.8</v>
      </c>
    </row>
    <row r="45" customFormat="false" ht="12.8" hidden="false" customHeight="false" outlineLevel="0" collapsed="false">
      <c r="A45" s="0" t="s">
        <v>2320</v>
      </c>
      <c r="B45" s="0" t="s">
        <v>9</v>
      </c>
      <c r="C45" s="0" t="str">
        <f aca="false">"976-987"</f>
        <v>976-987</v>
      </c>
      <c r="D45" s="0" t="s">
        <v>9</v>
      </c>
      <c r="E45" s="0" t="str">
        <f aca="false">"1083-1094"</f>
        <v>1083-1094</v>
      </c>
      <c r="F45" s="0" t="s">
        <v>2364</v>
      </c>
      <c r="G45" s="0" t="s">
        <v>9</v>
      </c>
      <c r="H45" s="0" t="str">
        <f aca="false">"473-484"</f>
        <v>473-484</v>
      </c>
      <c r="I45" s="0" t="s">
        <v>9</v>
      </c>
      <c r="J45" s="0" t="str">
        <f aca="false">"543-554"</f>
        <v>543-554</v>
      </c>
      <c r="K45" s="0" t="str">
        <f aca="false">"0.92"</f>
        <v>0.92</v>
      </c>
      <c r="L45" s="0" t="str">
        <f aca="false">"10.29"</f>
        <v>10.29</v>
      </c>
      <c r="M45" s="0" t="str">
        <f aca="false">"-65.0"</f>
        <v>-65.0</v>
      </c>
    </row>
    <row r="46" customFormat="false" ht="12.8" hidden="false" customHeight="false" outlineLevel="0" collapsed="false">
      <c r="A46" s="0" t="s">
        <v>2320</v>
      </c>
      <c r="B46" s="0" t="s">
        <v>9</v>
      </c>
      <c r="C46" s="0" t="str">
        <f aca="false">"971-982"</f>
        <v>971-982</v>
      </c>
      <c r="D46" s="0" t="s">
        <v>9</v>
      </c>
      <c r="E46" s="0" t="str">
        <f aca="false">"1083-1094"</f>
        <v>1083-1094</v>
      </c>
      <c r="F46" s="0" t="s">
        <v>2365</v>
      </c>
      <c r="G46" s="0" t="s">
        <v>9</v>
      </c>
      <c r="H46" s="0" t="str">
        <f aca="false">"114-125"</f>
        <v>114-125</v>
      </c>
      <c r="I46" s="0" t="s">
        <v>9</v>
      </c>
      <c r="J46" s="0" t="str">
        <f aca="false">"85-96"</f>
        <v>85-96</v>
      </c>
      <c r="K46" s="0" t="str">
        <f aca="false">"1.23"</f>
        <v>1.23</v>
      </c>
      <c r="L46" s="0" t="str">
        <f aca="false">"12.37"</f>
        <v>12.37</v>
      </c>
      <c r="M46" s="0" t="str">
        <f aca="false">"-54.6"</f>
        <v>-54.6</v>
      </c>
    </row>
    <row r="47" customFormat="false" ht="12.8" hidden="false" customHeight="false" outlineLevel="0" collapsed="false">
      <c r="A47" s="0" t="s">
        <v>2320</v>
      </c>
      <c r="B47" s="0" t="s">
        <v>9</v>
      </c>
      <c r="C47" s="0" t="str">
        <f aca="false">"976-987"</f>
        <v>976-987</v>
      </c>
      <c r="D47" s="0" t="s">
        <v>9</v>
      </c>
      <c r="E47" s="0" t="str">
        <f aca="false">"1086-1097"</f>
        <v>1086-1097</v>
      </c>
      <c r="F47" s="0" t="s">
        <v>2366</v>
      </c>
      <c r="G47" s="0" t="s">
        <v>9</v>
      </c>
      <c r="H47" s="0" t="str">
        <f aca="false">"195-206"</f>
        <v>195-206</v>
      </c>
      <c r="I47" s="0" t="s">
        <v>9</v>
      </c>
      <c r="J47" s="0" t="str">
        <f aca="false">"169-180"</f>
        <v>169-180</v>
      </c>
      <c r="K47" s="0" t="str">
        <f aca="false">"0.85"</f>
        <v>0.85</v>
      </c>
      <c r="L47" s="0" t="str">
        <f aca="false">"11.39"</f>
        <v>11.39</v>
      </c>
      <c r="M47" s="0" t="str">
        <f aca="false">"-70.4"</f>
        <v>-70.4</v>
      </c>
    </row>
    <row r="48" customFormat="false" ht="12.8" hidden="false" customHeight="false" outlineLevel="0" collapsed="false">
      <c r="A48" s="0" t="s">
        <v>2320</v>
      </c>
      <c r="B48" s="0" t="s">
        <v>9</v>
      </c>
      <c r="C48" s="0" t="str">
        <f aca="false">"976-987"</f>
        <v>976-987</v>
      </c>
      <c r="D48" s="0" t="s">
        <v>9</v>
      </c>
      <c r="E48" s="0" t="str">
        <f aca="false">"1088-1099"</f>
        <v>1088-1099</v>
      </c>
      <c r="F48" s="0" t="s">
        <v>2367</v>
      </c>
      <c r="G48" s="0" t="s">
        <v>13</v>
      </c>
      <c r="H48" s="0" t="str">
        <f aca="false">"154-165"</f>
        <v>154-165</v>
      </c>
      <c r="I48" s="0" t="s">
        <v>9</v>
      </c>
      <c r="J48" s="0" t="str">
        <f aca="false">"9-20"</f>
        <v>9-20</v>
      </c>
      <c r="K48" s="0" t="str">
        <f aca="false">"0.83"</f>
        <v>0.83</v>
      </c>
      <c r="L48" s="0" t="str">
        <f aca="false">"11.47"</f>
        <v>11.47</v>
      </c>
      <c r="M48" s="0" t="str">
        <f aca="false">"-78.4"</f>
        <v>-78.4</v>
      </c>
    </row>
    <row r="49" customFormat="false" ht="12.8" hidden="false" customHeight="false" outlineLevel="0" collapsed="false">
      <c r="A49" s="0" t="s">
        <v>2320</v>
      </c>
      <c r="B49" s="0" t="s">
        <v>9</v>
      </c>
      <c r="C49" s="0" t="str">
        <f aca="false">"976-987"</f>
        <v>976-987</v>
      </c>
      <c r="D49" s="0" t="s">
        <v>9</v>
      </c>
      <c r="E49" s="0" t="str">
        <f aca="false">"1084-1095"</f>
        <v>1084-1095</v>
      </c>
      <c r="F49" s="0" t="s">
        <v>2368</v>
      </c>
      <c r="G49" s="0" t="s">
        <v>9</v>
      </c>
      <c r="H49" s="0" t="str">
        <f aca="false">"265-276"</f>
        <v>265-276</v>
      </c>
      <c r="I49" s="0" t="s">
        <v>9</v>
      </c>
      <c r="J49" s="0" t="str">
        <f aca="false">"372-383"</f>
        <v>372-383</v>
      </c>
      <c r="K49" s="0" t="str">
        <f aca="false">"1.21"</f>
        <v>1.21</v>
      </c>
      <c r="L49" s="0" t="str">
        <f aca="false">"9.71"</f>
        <v>9.71</v>
      </c>
      <c r="M49" s="0" t="str">
        <f aca="false">"-62.3"</f>
        <v>-62.3</v>
      </c>
    </row>
    <row r="50" customFormat="false" ht="12.8" hidden="false" customHeight="false" outlineLevel="0" collapsed="false">
      <c r="A50" s="0" t="s">
        <v>2320</v>
      </c>
      <c r="B50" s="0" t="s">
        <v>9</v>
      </c>
      <c r="C50" s="0" t="str">
        <f aca="false">"976-987"</f>
        <v>976-987</v>
      </c>
      <c r="D50" s="0" t="s">
        <v>9</v>
      </c>
      <c r="E50" s="0" t="str">
        <f aca="false">"1087-1098"</f>
        <v>1087-1098</v>
      </c>
      <c r="F50" s="0" t="s">
        <v>2369</v>
      </c>
      <c r="G50" s="0" t="s">
        <v>9</v>
      </c>
      <c r="H50" s="0" t="str">
        <f aca="false">"71-82"</f>
        <v>71-82</v>
      </c>
      <c r="I50" s="0" t="s">
        <v>9</v>
      </c>
      <c r="J50" s="0" t="str">
        <f aca="false">"248-259"</f>
        <v>248-259</v>
      </c>
      <c r="K50" s="0" t="str">
        <f aca="false">"1.18"</f>
        <v>1.18</v>
      </c>
      <c r="L50" s="0" t="str">
        <f aca="false">"12.90"</f>
        <v>12.90</v>
      </c>
      <c r="M50" s="0" t="str">
        <f aca="false">"-74.2"</f>
        <v>-74.2</v>
      </c>
    </row>
    <row r="51" customFormat="false" ht="12.8" hidden="false" customHeight="false" outlineLevel="0" collapsed="false">
      <c r="A51" s="0" t="s">
        <v>2320</v>
      </c>
      <c r="B51" s="0" t="s">
        <v>9</v>
      </c>
      <c r="C51" s="0" t="str">
        <f aca="false">"978-989"</f>
        <v>978-989</v>
      </c>
      <c r="D51" s="0" t="s">
        <v>9</v>
      </c>
      <c r="E51" s="0" t="str">
        <f aca="false">"1083-1094"</f>
        <v>1083-1094</v>
      </c>
      <c r="F51" s="0" t="s">
        <v>2370</v>
      </c>
      <c r="G51" s="0" t="s">
        <v>9</v>
      </c>
      <c r="H51" s="0" t="str">
        <f aca="false">"6-17"</f>
        <v>6-17</v>
      </c>
      <c r="I51" s="0" t="s">
        <v>9</v>
      </c>
      <c r="J51" s="0" t="str">
        <f aca="false">"42-53"</f>
        <v>42-53</v>
      </c>
      <c r="K51" s="0" t="str">
        <f aca="false">"1.08"</f>
        <v>1.08</v>
      </c>
      <c r="L51" s="0" t="str">
        <f aca="false">"10.27"</f>
        <v>10.27</v>
      </c>
      <c r="M51" s="0" t="str">
        <f aca="false">"-90.1"</f>
        <v>-90.1</v>
      </c>
    </row>
    <row r="52" customFormat="false" ht="12.8" hidden="false" customHeight="false" outlineLevel="0" collapsed="false">
      <c r="A52" s="0" t="s">
        <v>2320</v>
      </c>
      <c r="B52" s="0" t="s">
        <v>9</v>
      </c>
      <c r="C52" s="0" t="str">
        <f aca="false">"975-986"</f>
        <v>975-986</v>
      </c>
      <c r="D52" s="0" t="s">
        <v>9</v>
      </c>
      <c r="E52" s="0" t="str">
        <f aca="false">"1084-1095"</f>
        <v>1084-1095</v>
      </c>
      <c r="F52" s="0" t="s">
        <v>2371</v>
      </c>
      <c r="G52" s="0" t="s">
        <v>9</v>
      </c>
      <c r="H52" s="0" t="str">
        <f aca="false">"347-358"</f>
        <v>347-358</v>
      </c>
      <c r="I52" s="0" t="s">
        <v>9</v>
      </c>
      <c r="J52" s="0" t="str">
        <f aca="false">"316-327"</f>
        <v>316-327</v>
      </c>
      <c r="K52" s="0" t="str">
        <f aca="false">"1.00"</f>
        <v>1.00</v>
      </c>
      <c r="L52" s="0" t="str">
        <f aca="false">"9.57"</f>
        <v>9.57</v>
      </c>
      <c r="M52" s="0" t="str">
        <f aca="false">"-74.6"</f>
        <v>-74.6</v>
      </c>
    </row>
    <row r="53" customFormat="false" ht="12.8" hidden="false" customHeight="false" outlineLevel="0" collapsed="false">
      <c r="A53" s="0" t="s">
        <v>2320</v>
      </c>
      <c r="B53" s="0" t="s">
        <v>9</v>
      </c>
      <c r="C53" s="0" t="str">
        <f aca="false">"978-989"</f>
        <v>978-989</v>
      </c>
      <c r="D53" s="0" t="s">
        <v>9</v>
      </c>
      <c r="E53" s="0" t="str">
        <f aca="false">"1083-1094"</f>
        <v>1083-1094</v>
      </c>
      <c r="F53" s="0" t="s">
        <v>2372</v>
      </c>
      <c r="G53" s="0" t="s">
        <v>9</v>
      </c>
      <c r="H53" s="0" t="str">
        <f aca="false">"195-206"</f>
        <v>195-206</v>
      </c>
      <c r="I53" s="0" t="s">
        <v>9</v>
      </c>
      <c r="J53" s="0" t="str">
        <f aca="false">"496-507"</f>
        <v>496-507</v>
      </c>
      <c r="K53" s="0" t="str">
        <f aca="false">"0.99"</f>
        <v>0.99</v>
      </c>
      <c r="L53" s="0" t="str">
        <f aca="false">"10.08"</f>
        <v>10.08</v>
      </c>
      <c r="M53" s="0" t="str">
        <f aca="false">"-65.1"</f>
        <v>-65.1</v>
      </c>
    </row>
    <row r="54" customFormat="false" ht="12.8" hidden="false" customHeight="false" outlineLevel="0" collapsed="false">
      <c r="A54" s="0" t="s">
        <v>2320</v>
      </c>
      <c r="B54" s="0" t="s">
        <v>9</v>
      </c>
      <c r="C54" s="0" t="str">
        <f aca="false">"978-989"</f>
        <v>978-989</v>
      </c>
      <c r="D54" s="0" t="s">
        <v>9</v>
      </c>
      <c r="E54" s="0" t="str">
        <f aca="false">"1083-1094"</f>
        <v>1083-1094</v>
      </c>
      <c r="F54" s="0" t="s">
        <v>2373</v>
      </c>
      <c r="G54" s="0" t="s">
        <v>9</v>
      </c>
      <c r="H54" s="0" t="str">
        <f aca="false">"387-398"</f>
        <v>387-398</v>
      </c>
      <c r="I54" s="0" t="s">
        <v>9</v>
      </c>
      <c r="J54" s="0" t="str">
        <f aca="false">"301-312"</f>
        <v>301-312</v>
      </c>
      <c r="K54" s="0" t="str">
        <f aca="false">"0.91"</f>
        <v>0.91</v>
      </c>
      <c r="L54" s="0" t="str">
        <f aca="false">"10.05"</f>
        <v>10.05</v>
      </c>
      <c r="M54" s="0" t="str">
        <f aca="false">"-80.8"</f>
        <v>-80.8</v>
      </c>
    </row>
    <row r="55" customFormat="false" ht="12.8" hidden="false" customHeight="false" outlineLevel="0" collapsed="false">
      <c r="A55" s="0" t="s">
        <v>2320</v>
      </c>
      <c r="B55" s="0" t="s">
        <v>9</v>
      </c>
      <c r="C55" s="0" t="str">
        <f aca="false">"978-989"</f>
        <v>978-989</v>
      </c>
      <c r="D55" s="0" t="s">
        <v>9</v>
      </c>
      <c r="E55" s="0" t="str">
        <f aca="false">"1083-1094"</f>
        <v>1083-1094</v>
      </c>
      <c r="F55" s="0" t="s">
        <v>2374</v>
      </c>
      <c r="G55" s="0" t="s">
        <v>13</v>
      </c>
      <c r="H55" s="0" t="str">
        <f aca="false">"4-15"</f>
        <v>4-15</v>
      </c>
      <c r="I55" s="0" t="s">
        <v>13</v>
      </c>
      <c r="J55" s="0" t="str">
        <f aca="false">"38-49"</f>
        <v>38-49</v>
      </c>
      <c r="K55" s="0" t="str">
        <f aca="false">"1.11"</f>
        <v>1.11</v>
      </c>
      <c r="L55" s="0" t="str">
        <f aca="false">"10.92"</f>
        <v>10.92</v>
      </c>
      <c r="M55" s="0" t="str">
        <f aca="false">"-90.2"</f>
        <v>-90.2</v>
      </c>
    </row>
    <row r="56" customFormat="false" ht="12.8" hidden="false" customHeight="false" outlineLevel="0" collapsed="false">
      <c r="A56" s="0" t="s">
        <v>2320</v>
      </c>
      <c r="B56" s="0" t="s">
        <v>9</v>
      </c>
      <c r="C56" s="0" t="str">
        <f aca="false">"979-990"</f>
        <v>979-990</v>
      </c>
      <c r="D56" s="0" t="s">
        <v>9</v>
      </c>
      <c r="E56" s="0" t="str">
        <f aca="false">"1084-1095"</f>
        <v>1084-1095</v>
      </c>
      <c r="F56" s="0" t="s">
        <v>2375</v>
      </c>
      <c r="G56" s="0" t="s">
        <v>9</v>
      </c>
      <c r="H56" s="0" t="str">
        <f aca="false">"14-25"</f>
        <v>14-25</v>
      </c>
      <c r="I56" s="0" t="s">
        <v>9</v>
      </c>
      <c r="J56" s="0" t="str">
        <f aca="false">"123-134"</f>
        <v>123-134</v>
      </c>
      <c r="K56" s="0" t="str">
        <f aca="false">"0.87"</f>
        <v>0.87</v>
      </c>
      <c r="L56" s="0" t="str">
        <f aca="false">"10.84"</f>
        <v>10.84</v>
      </c>
      <c r="M56" s="0" t="str">
        <f aca="false">"-67.4"</f>
        <v>-67.4</v>
      </c>
    </row>
    <row r="57" customFormat="false" ht="12.8" hidden="false" customHeight="false" outlineLevel="0" collapsed="false">
      <c r="A57" s="0" t="s">
        <v>2320</v>
      </c>
      <c r="B57" s="0" t="s">
        <v>9</v>
      </c>
      <c r="C57" s="0" t="str">
        <f aca="false">"975-986"</f>
        <v>975-986</v>
      </c>
      <c r="D57" s="0" t="s">
        <v>9</v>
      </c>
      <c r="E57" s="0" t="str">
        <f aca="false">"1084-1095"</f>
        <v>1084-1095</v>
      </c>
      <c r="F57" s="0" t="s">
        <v>2376</v>
      </c>
      <c r="G57" s="0" t="s">
        <v>9</v>
      </c>
      <c r="H57" s="0" t="str">
        <f aca="false">"89-100"</f>
        <v>89-100</v>
      </c>
      <c r="I57" s="0" t="s">
        <v>9</v>
      </c>
      <c r="J57" s="0" t="str">
        <f aca="false">"138-149"</f>
        <v>138-149</v>
      </c>
      <c r="K57" s="0" t="str">
        <f aca="false">"0.87"</f>
        <v>0.87</v>
      </c>
      <c r="L57" s="0" t="str">
        <f aca="false">"9.52"</f>
        <v>9.52</v>
      </c>
      <c r="M57" s="0" t="str">
        <f aca="false">"-77.5"</f>
        <v>-77.5</v>
      </c>
    </row>
    <row r="58" customFormat="false" ht="12.8" hidden="false" customHeight="false" outlineLevel="0" collapsed="false">
      <c r="A58" s="0" t="s">
        <v>2320</v>
      </c>
      <c r="B58" s="0" t="s">
        <v>9</v>
      </c>
      <c r="C58" s="0" t="str">
        <f aca="false">"977-988"</f>
        <v>977-988</v>
      </c>
      <c r="D58" s="0" t="s">
        <v>9</v>
      </c>
      <c r="E58" s="0" t="str">
        <f aca="false">"1087-1098"</f>
        <v>1087-1098</v>
      </c>
      <c r="F58" s="0" t="s">
        <v>2377</v>
      </c>
      <c r="G58" s="0" t="s">
        <v>9</v>
      </c>
      <c r="H58" s="0" t="str">
        <f aca="false">"194-205"</f>
        <v>194-205</v>
      </c>
      <c r="I58" s="0" t="s">
        <v>9</v>
      </c>
      <c r="J58" s="0" t="str">
        <f aca="false">"153-164"</f>
        <v>153-164</v>
      </c>
      <c r="K58" s="0" t="str">
        <f aca="false">"1.08"</f>
        <v>1.08</v>
      </c>
      <c r="L58" s="0" t="str">
        <f aca="false">"11.36"</f>
        <v>11.36</v>
      </c>
      <c r="M58" s="0" t="str">
        <f aca="false">"-81.6"</f>
        <v>-81.6</v>
      </c>
    </row>
    <row r="59" customFormat="false" ht="12.8" hidden="false" customHeight="false" outlineLevel="0" collapsed="false">
      <c r="A59" s="0" t="s">
        <v>2320</v>
      </c>
      <c r="B59" s="0" t="s">
        <v>9</v>
      </c>
      <c r="C59" s="0" t="str">
        <f aca="false">"976-987"</f>
        <v>976-987</v>
      </c>
      <c r="D59" s="0" t="s">
        <v>9</v>
      </c>
      <c r="E59" s="0" t="str">
        <f aca="false">"1082-1093"</f>
        <v>1082-1093</v>
      </c>
      <c r="F59" s="0" t="s">
        <v>2378</v>
      </c>
      <c r="G59" s="0" t="s">
        <v>9</v>
      </c>
      <c r="H59" s="0" t="str">
        <f aca="false">"772-783"</f>
        <v>772-783</v>
      </c>
      <c r="I59" s="0" t="s">
        <v>9</v>
      </c>
      <c r="J59" s="0" t="str">
        <f aca="false">"846-857"</f>
        <v>846-857</v>
      </c>
      <c r="K59" s="0" t="str">
        <f aca="false">"0.95"</f>
        <v>0.95</v>
      </c>
      <c r="L59" s="0" t="str">
        <f aca="false">"10.01"</f>
        <v>10.01</v>
      </c>
      <c r="M59" s="0" t="str">
        <f aca="false">"-76.7"</f>
        <v>-76.7</v>
      </c>
    </row>
    <row r="60" customFormat="false" ht="12.8" hidden="false" customHeight="false" outlineLevel="0" collapsed="false">
      <c r="A60" s="0" t="s">
        <v>2320</v>
      </c>
      <c r="B60" s="0" t="s">
        <v>9</v>
      </c>
      <c r="C60" s="0" t="str">
        <f aca="false">"976-987"</f>
        <v>976-987</v>
      </c>
      <c r="D60" s="0" t="s">
        <v>9</v>
      </c>
      <c r="E60" s="0" t="str">
        <f aca="false">"1085-1096"</f>
        <v>1085-1096</v>
      </c>
      <c r="F60" s="0" t="s">
        <v>2379</v>
      </c>
      <c r="G60" s="0" t="s">
        <v>9</v>
      </c>
      <c r="H60" s="0" t="str">
        <f aca="false">"271-282"</f>
        <v>271-282</v>
      </c>
      <c r="I60" s="0" t="s">
        <v>9</v>
      </c>
      <c r="J60" s="0" t="str">
        <f aca="false">"363-374"</f>
        <v>363-374</v>
      </c>
      <c r="K60" s="0" t="str">
        <f aca="false">"1.23"</f>
        <v>1.23</v>
      </c>
      <c r="L60" s="0" t="str">
        <f aca="false">"9.48"</f>
        <v>9.48</v>
      </c>
      <c r="M60" s="0" t="str">
        <f aca="false">"-84.9"</f>
        <v>-84.9</v>
      </c>
    </row>
    <row r="61" customFormat="false" ht="12.8" hidden="false" customHeight="false" outlineLevel="0" collapsed="false">
      <c r="A61" s="0" t="s">
        <v>2320</v>
      </c>
      <c r="B61" s="0" t="s">
        <v>9</v>
      </c>
      <c r="C61" s="0" t="str">
        <f aca="false">"974-985"</f>
        <v>974-985</v>
      </c>
      <c r="D61" s="0" t="s">
        <v>9</v>
      </c>
      <c r="E61" s="0" t="str">
        <f aca="false">"1085-1096"</f>
        <v>1085-1096</v>
      </c>
      <c r="F61" s="0" t="s">
        <v>2380</v>
      </c>
      <c r="G61" s="0" t="s">
        <v>13</v>
      </c>
      <c r="H61" s="0" t="str">
        <f aca="false">"173-184"</f>
        <v>173-184</v>
      </c>
      <c r="I61" s="0" t="s">
        <v>9</v>
      </c>
      <c r="J61" s="0" t="str">
        <f aca="false">"146-157"</f>
        <v>146-157</v>
      </c>
      <c r="K61" s="0" t="str">
        <f aca="false">"0.88"</f>
        <v>0.88</v>
      </c>
      <c r="L61" s="0" t="str">
        <f aca="false">"10.52"</f>
        <v>10.52</v>
      </c>
      <c r="M61" s="0" t="str">
        <f aca="false">"-84.9"</f>
        <v>-84.9</v>
      </c>
    </row>
    <row r="62" customFormat="false" ht="12.8" hidden="false" customHeight="false" outlineLevel="0" collapsed="false">
      <c r="A62" s="0" t="s">
        <v>2320</v>
      </c>
      <c r="B62" s="0" t="s">
        <v>9</v>
      </c>
      <c r="C62" s="0" t="str">
        <f aca="false">"976-987"</f>
        <v>976-987</v>
      </c>
      <c r="D62" s="0" t="s">
        <v>9</v>
      </c>
      <c r="E62" s="0" t="str">
        <f aca="false">"1084-1095"</f>
        <v>1084-1095</v>
      </c>
      <c r="F62" s="0" t="s">
        <v>2381</v>
      </c>
      <c r="G62" s="0" t="s">
        <v>13</v>
      </c>
      <c r="H62" s="0" t="str">
        <f aca="false">"159-170"</f>
        <v>159-170</v>
      </c>
      <c r="I62" s="0" t="s">
        <v>9</v>
      </c>
      <c r="J62" s="0" t="str">
        <f aca="false">"133-144"</f>
        <v>133-144</v>
      </c>
      <c r="K62" s="0" t="str">
        <f aca="false">"0.74"</f>
        <v>0.74</v>
      </c>
      <c r="L62" s="0" t="str">
        <f aca="false">"10.17"</f>
        <v>10.17</v>
      </c>
      <c r="M62" s="0" t="str">
        <f aca="false">"-76.1"</f>
        <v>-76.1</v>
      </c>
    </row>
    <row r="63" customFormat="false" ht="12.8" hidden="false" customHeight="false" outlineLevel="0" collapsed="false">
      <c r="A63" s="0" t="s">
        <v>2320</v>
      </c>
      <c r="B63" s="0" t="s">
        <v>9</v>
      </c>
      <c r="C63" s="0" t="str">
        <f aca="false">"977-988"</f>
        <v>977-988</v>
      </c>
      <c r="D63" s="0" t="s">
        <v>9</v>
      </c>
      <c r="E63" s="0" t="str">
        <f aca="false">"1087-1098"</f>
        <v>1087-1098</v>
      </c>
      <c r="F63" s="0" t="s">
        <v>2382</v>
      </c>
      <c r="G63" s="0" t="s">
        <v>9</v>
      </c>
      <c r="H63" s="0" t="str">
        <f aca="false">"90-101"</f>
        <v>90-101</v>
      </c>
      <c r="I63" s="0" t="s">
        <v>9</v>
      </c>
      <c r="J63" s="0" t="str">
        <f aca="false">"116-127"</f>
        <v>116-127</v>
      </c>
      <c r="K63" s="0" t="str">
        <f aca="false">"1.20"</f>
        <v>1.20</v>
      </c>
      <c r="L63" s="0" t="str">
        <f aca="false">"10.79"</f>
        <v>10.79</v>
      </c>
      <c r="M63" s="0" t="str">
        <f aca="false">"-59.5"</f>
        <v>-59.5</v>
      </c>
    </row>
    <row r="64" customFormat="false" ht="12.8" hidden="false" customHeight="false" outlineLevel="0" collapsed="false">
      <c r="A64" s="0" t="s">
        <v>2320</v>
      </c>
      <c r="B64" s="0" t="s">
        <v>9</v>
      </c>
      <c r="C64" s="0" t="str">
        <f aca="false">"978-989"</f>
        <v>978-989</v>
      </c>
      <c r="D64" s="0" t="s">
        <v>9</v>
      </c>
      <c r="E64" s="0" t="str">
        <f aca="false">"1083-1094"</f>
        <v>1083-1094</v>
      </c>
      <c r="F64" s="0" t="s">
        <v>2383</v>
      </c>
      <c r="G64" s="0" t="s">
        <v>9</v>
      </c>
      <c r="H64" s="0" t="str">
        <f aca="false">"36-47"</f>
        <v>36-47</v>
      </c>
      <c r="I64" s="0" t="s">
        <v>9</v>
      </c>
      <c r="J64" s="0" t="str">
        <f aca="false">"65-76"</f>
        <v>65-76</v>
      </c>
      <c r="K64" s="0" t="str">
        <f aca="false">"1.01"</f>
        <v>1.01</v>
      </c>
      <c r="L64" s="0" t="str">
        <f aca="false">"11.03"</f>
        <v>11.03</v>
      </c>
      <c r="M64" s="0" t="str">
        <f aca="false">"-77.7"</f>
        <v>-77.7</v>
      </c>
    </row>
    <row r="65" customFormat="false" ht="12.8" hidden="false" customHeight="false" outlineLevel="0" collapsed="false">
      <c r="A65" s="0" t="s">
        <v>2320</v>
      </c>
      <c r="B65" s="0" t="s">
        <v>9</v>
      </c>
      <c r="C65" s="0" t="str">
        <f aca="false">"978-989"</f>
        <v>978-989</v>
      </c>
      <c r="D65" s="0" t="s">
        <v>9</v>
      </c>
      <c r="E65" s="0" t="str">
        <f aca="false">"1083-1094"</f>
        <v>1083-1094</v>
      </c>
      <c r="F65" s="0" t="s">
        <v>2384</v>
      </c>
      <c r="G65" s="0" t="s">
        <v>120</v>
      </c>
      <c r="H65" s="0" t="str">
        <f aca="false">"8-19"</f>
        <v>8-19</v>
      </c>
      <c r="I65" s="0" t="s">
        <v>120</v>
      </c>
      <c r="J65" s="0" t="str">
        <f aca="false">"38-49"</f>
        <v>38-49</v>
      </c>
      <c r="K65" s="0" t="str">
        <f aca="false">"0.77"</f>
        <v>0.77</v>
      </c>
      <c r="L65" s="0" t="str">
        <f aca="false">"10.86"</f>
        <v>10.86</v>
      </c>
      <c r="M65" s="0" t="str">
        <f aca="false">"-76.3"</f>
        <v>-76.3</v>
      </c>
    </row>
    <row r="66" customFormat="false" ht="12.8" hidden="false" customHeight="false" outlineLevel="0" collapsed="false">
      <c r="A66" s="0" t="s">
        <v>2320</v>
      </c>
      <c r="B66" s="0" t="s">
        <v>9</v>
      </c>
      <c r="C66" s="0" t="str">
        <f aca="false">"976-987"</f>
        <v>976-987</v>
      </c>
      <c r="D66" s="0" t="s">
        <v>9</v>
      </c>
      <c r="E66" s="0" t="str">
        <f aca="false">"1085-1096"</f>
        <v>1085-1096</v>
      </c>
      <c r="F66" s="0" t="s">
        <v>2385</v>
      </c>
      <c r="G66" s="0" t="s">
        <v>13</v>
      </c>
      <c r="H66" s="0" t="str">
        <f aca="false">"97-108"</f>
        <v>97-108</v>
      </c>
      <c r="I66" s="0" t="s">
        <v>13</v>
      </c>
      <c r="J66" s="0" t="str">
        <f aca="false">"54-65"</f>
        <v>54-65</v>
      </c>
      <c r="K66" s="0" t="str">
        <f aca="false">"0.84"</f>
        <v>0.84</v>
      </c>
      <c r="L66" s="0" t="str">
        <f aca="false">"10.25"</f>
        <v>10.25</v>
      </c>
      <c r="M66" s="0" t="str">
        <f aca="false">"-70.6"</f>
        <v>-70.6</v>
      </c>
    </row>
    <row r="67" customFormat="false" ht="12.8" hidden="false" customHeight="false" outlineLevel="0" collapsed="false">
      <c r="A67" s="0" t="s">
        <v>2320</v>
      </c>
      <c r="B67" s="0" t="s">
        <v>9</v>
      </c>
      <c r="C67" s="0" t="str">
        <f aca="false">"976-987"</f>
        <v>976-987</v>
      </c>
      <c r="D67" s="0" t="s">
        <v>9</v>
      </c>
      <c r="E67" s="0" t="str">
        <f aca="false">"1084-1095"</f>
        <v>1084-1095</v>
      </c>
      <c r="F67" s="0" t="s">
        <v>2386</v>
      </c>
      <c r="G67" s="0" t="s">
        <v>9</v>
      </c>
      <c r="H67" s="0" t="str">
        <f aca="false">"26-37"</f>
        <v>26-37</v>
      </c>
      <c r="I67" s="0" t="s">
        <v>9</v>
      </c>
      <c r="J67" s="0" t="str">
        <f aca="false">"68-79"</f>
        <v>68-79</v>
      </c>
      <c r="K67" s="0" t="str">
        <f aca="false">"0.98"</f>
        <v>0.98</v>
      </c>
      <c r="L67" s="0" t="str">
        <f aca="false">"9.97"</f>
        <v>9.97</v>
      </c>
      <c r="M67" s="0" t="str">
        <f aca="false">"-92.3"</f>
        <v>-92.3</v>
      </c>
    </row>
    <row r="68" customFormat="false" ht="12.8" hidden="false" customHeight="false" outlineLevel="0" collapsed="false">
      <c r="A68" s="0" t="s">
        <v>2320</v>
      </c>
      <c r="B68" s="0" t="s">
        <v>9</v>
      </c>
      <c r="C68" s="0" t="str">
        <f aca="false">"977-988"</f>
        <v>977-988</v>
      </c>
      <c r="D68" s="0" t="s">
        <v>9</v>
      </c>
      <c r="E68" s="0" t="str">
        <f aca="false">"1085-1096"</f>
        <v>1085-1096</v>
      </c>
      <c r="F68" s="0" t="s">
        <v>2387</v>
      </c>
      <c r="G68" s="0" t="s">
        <v>1942</v>
      </c>
      <c r="H68" s="0" t="str">
        <f aca="false">"386-397"</f>
        <v>386-397</v>
      </c>
      <c r="I68" s="0" t="s">
        <v>1942</v>
      </c>
      <c r="J68" s="0" t="str">
        <f aca="false">"163-174"</f>
        <v>163-174</v>
      </c>
      <c r="K68" s="0" t="str">
        <f aca="false">"1.11"</f>
        <v>1.11</v>
      </c>
      <c r="L68" s="0" t="str">
        <f aca="false">"10.05"</f>
        <v>10.05</v>
      </c>
      <c r="M68" s="0" t="str">
        <f aca="false">"-49.4"</f>
        <v>-49.4</v>
      </c>
    </row>
    <row r="69" customFormat="false" ht="12.8" hidden="false" customHeight="false" outlineLevel="0" collapsed="false">
      <c r="A69" s="0" t="s">
        <v>2320</v>
      </c>
      <c r="B69" s="0" t="s">
        <v>9</v>
      </c>
      <c r="C69" s="0" t="str">
        <f aca="false">"977-988"</f>
        <v>977-988</v>
      </c>
      <c r="D69" s="0" t="s">
        <v>9</v>
      </c>
      <c r="E69" s="0" t="str">
        <f aca="false">"1085-1096"</f>
        <v>1085-1096</v>
      </c>
      <c r="F69" s="0" t="s">
        <v>2388</v>
      </c>
      <c r="G69" s="0" t="s">
        <v>13</v>
      </c>
      <c r="H69" s="0" t="str">
        <f aca="false">"190-201"</f>
        <v>190-201</v>
      </c>
      <c r="I69" s="0" t="s">
        <v>9</v>
      </c>
      <c r="J69" s="0" t="str">
        <f aca="false">"158-169"</f>
        <v>158-169</v>
      </c>
      <c r="K69" s="0" t="str">
        <f aca="false">"1.25"</f>
        <v>1.25</v>
      </c>
      <c r="L69" s="0" t="str">
        <f aca="false">"11.04"</f>
        <v>11.04</v>
      </c>
      <c r="M69" s="0" t="str">
        <f aca="false">"-86.4"</f>
        <v>-86.4</v>
      </c>
    </row>
    <row r="70" customFormat="false" ht="12.8" hidden="false" customHeight="false" outlineLevel="0" collapsed="false">
      <c r="A70" s="0" t="s">
        <v>2320</v>
      </c>
      <c r="B70" s="0" t="s">
        <v>9</v>
      </c>
      <c r="C70" s="0" t="str">
        <f aca="false">"976-987"</f>
        <v>976-987</v>
      </c>
      <c r="D70" s="0" t="s">
        <v>9</v>
      </c>
      <c r="E70" s="0" t="str">
        <f aca="false">"1086-1097"</f>
        <v>1086-1097</v>
      </c>
      <c r="F70" s="0" t="s">
        <v>2389</v>
      </c>
      <c r="G70" s="0" t="s">
        <v>9</v>
      </c>
      <c r="H70" s="0" t="str">
        <f aca="false">"118-129"</f>
        <v>118-129</v>
      </c>
      <c r="I70" s="0" t="s">
        <v>9</v>
      </c>
      <c r="J70" s="0" t="str">
        <f aca="false">"89-100"</f>
        <v>89-100</v>
      </c>
      <c r="K70" s="0" t="str">
        <f aca="false">"1.01"</f>
        <v>1.01</v>
      </c>
      <c r="L70" s="0" t="str">
        <f aca="false">"9.36"</f>
        <v>9.36</v>
      </c>
      <c r="M70" s="0" t="str">
        <f aca="false">"-63.8"</f>
        <v>-63.8</v>
      </c>
    </row>
    <row r="71" customFormat="false" ht="12.8" hidden="false" customHeight="false" outlineLevel="0" collapsed="false">
      <c r="A71" s="0" t="s">
        <v>2320</v>
      </c>
      <c r="B71" s="0" t="s">
        <v>9</v>
      </c>
      <c r="C71" s="0" t="str">
        <f aca="false">"973-984"</f>
        <v>973-984</v>
      </c>
      <c r="D71" s="0" t="s">
        <v>9</v>
      </c>
      <c r="E71" s="0" t="str">
        <f aca="false">"1083-1094"</f>
        <v>1083-1094</v>
      </c>
      <c r="F71" s="0" t="s">
        <v>2390</v>
      </c>
      <c r="G71" s="0" t="s">
        <v>9</v>
      </c>
      <c r="H71" s="0" t="str">
        <f aca="false">"432-443"</f>
        <v>432-443</v>
      </c>
      <c r="I71" s="0" t="s">
        <v>9</v>
      </c>
      <c r="J71" s="0" t="str">
        <f aca="false">"491-502"</f>
        <v>491-502</v>
      </c>
      <c r="K71" s="0" t="str">
        <f aca="false">"0.95"</f>
        <v>0.95</v>
      </c>
      <c r="L71" s="0" t="str">
        <f aca="false">"10.57"</f>
        <v>10.57</v>
      </c>
      <c r="M71" s="0" t="str">
        <f aca="false">"-82.2"</f>
        <v>-82.2</v>
      </c>
    </row>
    <row r="72" customFormat="false" ht="12.8" hidden="false" customHeight="false" outlineLevel="0" collapsed="false">
      <c r="A72" s="0" t="s">
        <v>2320</v>
      </c>
      <c r="B72" s="0" t="s">
        <v>9</v>
      </c>
      <c r="C72" s="0" t="str">
        <f aca="false">"972-983"</f>
        <v>972-983</v>
      </c>
      <c r="D72" s="0" t="s">
        <v>9</v>
      </c>
      <c r="E72" s="0" t="str">
        <f aca="false">"1083-1094"</f>
        <v>1083-1094</v>
      </c>
      <c r="F72" s="0" t="s">
        <v>2391</v>
      </c>
      <c r="G72" s="0" t="s">
        <v>13</v>
      </c>
      <c r="H72" s="0" t="str">
        <f aca="false">"439-450"</f>
        <v>439-450</v>
      </c>
      <c r="I72" s="0" t="s">
        <v>13</v>
      </c>
      <c r="J72" s="0" t="str">
        <f aca="false">"493-504"</f>
        <v>493-504</v>
      </c>
      <c r="K72" s="0" t="str">
        <f aca="false">"1.21"</f>
        <v>1.21</v>
      </c>
      <c r="L72" s="0" t="str">
        <f aca="false">"11.35"</f>
        <v>11.35</v>
      </c>
      <c r="M72" s="0" t="str">
        <f aca="false">"-66.9"</f>
        <v>-66.9</v>
      </c>
    </row>
    <row r="73" customFormat="false" ht="12.8" hidden="false" customHeight="false" outlineLevel="0" collapsed="false">
      <c r="A73" s="0" t="s">
        <v>2320</v>
      </c>
      <c r="B73" s="0" t="s">
        <v>9</v>
      </c>
      <c r="C73" s="0" t="str">
        <f aca="false">"976-987"</f>
        <v>976-987</v>
      </c>
      <c r="D73" s="0" t="s">
        <v>9</v>
      </c>
      <c r="E73" s="0" t="str">
        <f aca="false">"1082-1093"</f>
        <v>1082-1093</v>
      </c>
      <c r="F73" s="0" t="s">
        <v>2392</v>
      </c>
      <c r="G73" s="0" t="s">
        <v>9</v>
      </c>
      <c r="H73" s="0" t="str">
        <f aca="false">"169-180"</f>
        <v>169-180</v>
      </c>
      <c r="I73" s="0" t="s">
        <v>13</v>
      </c>
      <c r="J73" s="0" t="str">
        <f aca="false">"434-445"</f>
        <v>434-445</v>
      </c>
      <c r="K73" s="0" t="str">
        <f aca="false">"1.24"</f>
        <v>1.24</v>
      </c>
      <c r="L73" s="0" t="str">
        <f aca="false">"9.42"</f>
        <v>9.42</v>
      </c>
      <c r="M73" s="0" t="str">
        <f aca="false">"-64.0"</f>
        <v>-64.0</v>
      </c>
    </row>
    <row r="74" customFormat="false" ht="12.8" hidden="false" customHeight="false" outlineLevel="0" collapsed="false">
      <c r="A74" s="0" t="s">
        <v>2320</v>
      </c>
      <c r="B74" s="0" t="s">
        <v>9</v>
      </c>
      <c r="C74" s="0" t="str">
        <f aca="false">"979-990"</f>
        <v>979-990</v>
      </c>
      <c r="D74" s="0" t="s">
        <v>9</v>
      </c>
      <c r="E74" s="0" t="str">
        <f aca="false">"1087-1098"</f>
        <v>1087-1098</v>
      </c>
      <c r="F74" s="0" t="s">
        <v>2393</v>
      </c>
      <c r="G74" s="0" t="s">
        <v>9</v>
      </c>
      <c r="H74" s="0" t="str">
        <f aca="false">"94-105"</f>
        <v>94-105</v>
      </c>
      <c r="I74" s="0" t="s">
        <v>9</v>
      </c>
      <c r="J74" s="0" t="str">
        <f aca="false">"279-290"</f>
        <v>279-290</v>
      </c>
      <c r="K74" s="0" t="str">
        <f aca="false">"1.19"</f>
        <v>1.19</v>
      </c>
      <c r="L74" s="0" t="str">
        <f aca="false">"10.75"</f>
        <v>10.75</v>
      </c>
      <c r="M74" s="0" t="str">
        <f aca="false">"-61.6"</f>
        <v>-61.6</v>
      </c>
    </row>
    <row r="75" customFormat="false" ht="12.8" hidden="false" customHeight="false" outlineLevel="0" collapsed="false">
      <c r="A75" s="0" t="s">
        <v>2320</v>
      </c>
      <c r="B75" s="0" t="s">
        <v>9</v>
      </c>
      <c r="C75" s="0" t="str">
        <f aca="false">"976-987"</f>
        <v>976-987</v>
      </c>
      <c r="D75" s="0" t="s">
        <v>9</v>
      </c>
      <c r="E75" s="0" t="str">
        <f aca="false">"1086-1097"</f>
        <v>1086-1097</v>
      </c>
      <c r="F75" s="0" t="s">
        <v>2394</v>
      </c>
      <c r="G75" s="0" t="s">
        <v>9</v>
      </c>
      <c r="H75" s="0" t="str">
        <f aca="false">"74-85"</f>
        <v>74-85</v>
      </c>
      <c r="I75" s="0" t="s">
        <v>9</v>
      </c>
      <c r="J75" s="0" t="str">
        <f aca="false">"25-36"</f>
        <v>25-36</v>
      </c>
      <c r="K75" s="0" t="str">
        <f aca="false">"1.22"</f>
        <v>1.22</v>
      </c>
      <c r="L75" s="0" t="str">
        <f aca="false">"10.02"</f>
        <v>10.02</v>
      </c>
      <c r="M75" s="0" t="str">
        <f aca="false">"-66.2"</f>
        <v>-66.2</v>
      </c>
    </row>
    <row r="76" customFormat="false" ht="12.8" hidden="false" customHeight="false" outlineLevel="0" collapsed="false">
      <c r="A76" s="0" t="s">
        <v>2320</v>
      </c>
      <c r="B76" s="0" t="s">
        <v>9</v>
      </c>
      <c r="C76" s="0" t="str">
        <f aca="false">"978-989"</f>
        <v>978-989</v>
      </c>
      <c r="D76" s="0" t="s">
        <v>9</v>
      </c>
      <c r="E76" s="0" t="str">
        <f aca="false">"1083-1094"</f>
        <v>1083-1094</v>
      </c>
      <c r="F76" s="0" t="s">
        <v>2395</v>
      </c>
      <c r="G76" s="0" t="s">
        <v>9</v>
      </c>
      <c r="H76" s="0" t="str">
        <f aca="false">"15-26"</f>
        <v>15-26</v>
      </c>
      <c r="I76" s="0" t="s">
        <v>9</v>
      </c>
      <c r="J76" s="0" t="str">
        <f aca="false">"51-62"</f>
        <v>51-62</v>
      </c>
      <c r="K76" s="0" t="str">
        <f aca="false">"1.12"</f>
        <v>1.12</v>
      </c>
      <c r="L76" s="0" t="str">
        <f aca="false">"10.65"</f>
        <v>10.65</v>
      </c>
      <c r="M76" s="0" t="str">
        <f aca="false">"-76.4"</f>
        <v>-76.4</v>
      </c>
    </row>
    <row r="77" customFormat="false" ht="12.8" hidden="false" customHeight="false" outlineLevel="0" collapsed="false">
      <c r="A77" s="0" t="s">
        <v>2320</v>
      </c>
      <c r="B77" s="0" t="s">
        <v>9</v>
      </c>
      <c r="C77" s="0" t="str">
        <f aca="false">"977-988"</f>
        <v>977-988</v>
      </c>
      <c r="D77" s="0" t="s">
        <v>9</v>
      </c>
      <c r="E77" s="0" t="str">
        <f aca="false">"1082-1093"</f>
        <v>1082-1093</v>
      </c>
      <c r="F77" s="0" t="s">
        <v>2396</v>
      </c>
      <c r="G77" s="0" t="s">
        <v>9</v>
      </c>
      <c r="H77" s="0" t="str">
        <f aca="false">"17-28"</f>
        <v>17-28</v>
      </c>
      <c r="I77" s="0" t="s">
        <v>9</v>
      </c>
      <c r="J77" s="0" t="str">
        <f aca="false">"56-67"</f>
        <v>56-67</v>
      </c>
      <c r="K77" s="0" t="str">
        <f aca="false">"0.94"</f>
        <v>0.94</v>
      </c>
      <c r="L77" s="0" t="str">
        <f aca="false">"9.82"</f>
        <v>9.82</v>
      </c>
      <c r="M77" s="0" t="str">
        <f aca="false">"-63.0"</f>
        <v>-63.0</v>
      </c>
    </row>
    <row r="78" customFormat="false" ht="12.8" hidden="false" customHeight="false" outlineLevel="0" collapsed="false">
      <c r="A78" s="0" t="s">
        <v>2320</v>
      </c>
      <c r="B78" s="0" t="s">
        <v>9</v>
      </c>
      <c r="C78" s="0" t="str">
        <f aca="false">"974-985"</f>
        <v>974-985</v>
      </c>
      <c r="D78" s="0" t="s">
        <v>9</v>
      </c>
      <c r="E78" s="0" t="str">
        <f aca="false">"1083-1094"</f>
        <v>1083-1094</v>
      </c>
      <c r="F78" s="0" t="s">
        <v>2397</v>
      </c>
      <c r="G78" s="0" t="s">
        <v>9</v>
      </c>
      <c r="H78" s="0" t="str">
        <f aca="false">"142-153"</f>
        <v>142-153</v>
      </c>
      <c r="I78" s="0" t="s">
        <v>9</v>
      </c>
      <c r="J78" s="0" t="str">
        <f aca="false">"72-83"</f>
        <v>72-83</v>
      </c>
      <c r="K78" s="0" t="str">
        <f aca="false">"1.24"</f>
        <v>1.24</v>
      </c>
      <c r="L78" s="0" t="str">
        <f aca="false">"9.44"</f>
        <v>9.44</v>
      </c>
      <c r="M78" s="0" t="str">
        <f aca="false">"-73.7"</f>
        <v>-73.7</v>
      </c>
    </row>
    <row r="79" customFormat="false" ht="12.8" hidden="false" customHeight="false" outlineLevel="0" collapsed="false">
      <c r="A79" s="0" t="s">
        <v>2320</v>
      </c>
      <c r="B79" s="0" t="s">
        <v>9</v>
      </c>
      <c r="C79" s="0" t="str">
        <f aca="false">"970-981"</f>
        <v>970-981</v>
      </c>
      <c r="D79" s="0" t="s">
        <v>9</v>
      </c>
      <c r="E79" s="0" t="str">
        <f aca="false">"1083-1094"</f>
        <v>1083-1094</v>
      </c>
      <c r="F79" s="0" t="s">
        <v>2398</v>
      </c>
      <c r="G79" s="0" t="s">
        <v>9</v>
      </c>
      <c r="H79" s="0" t="str">
        <f aca="false">"222-233"</f>
        <v>222-233</v>
      </c>
      <c r="I79" s="0" t="s">
        <v>9</v>
      </c>
      <c r="J79" s="0" t="str">
        <f aca="false">"166-177"</f>
        <v>166-177</v>
      </c>
      <c r="K79" s="0" t="str">
        <f aca="false">"0.90"</f>
        <v>0.90</v>
      </c>
      <c r="L79" s="0" t="str">
        <f aca="false">"13.80"</f>
        <v>13.80</v>
      </c>
      <c r="M79" s="0" t="str">
        <f aca="false">"-77.9"</f>
        <v>-77.9</v>
      </c>
    </row>
    <row r="80" customFormat="false" ht="12.8" hidden="false" customHeight="false" outlineLevel="0" collapsed="false">
      <c r="A80" s="0" t="s">
        <v>2320</v>
      </c>
      <c r="B80" s="0" t="s">
        <v>9</v>
      </c>
      <c r="C80" s="0" t="str">
        <f aca="false">"971-982"</f>
        <v>971-982</v>
      </c>
      <c r="D80" s="0" t="s">
        <v>9</v>
      </c>
      <c r="E80" s="0" t="str">
        <f aca="false">"1088-1099"</f>
        <v>1088-1099</v>
      </c>
      <c r="F80" s="0" t="s">
        <v>2399</v>
      </c>
      <c r="G80" s="0" t="s">
        <v>9</v>
      </c>
      <c r="H80" s="0" t="str">
        <f aca="false">"280-291"</f>
        <v>280-291</v>
      </c>
      <c r="I80" s="0" t="s">
        <v>9</v>
      </c>
      <c r="J80" s="0" t="str">
        <f aca="false">"296-307"</f>
        <v>296-307</v>
      </c>
      <c r="K80" s="0" t="str">
        <f aca="false">"1.18"</f>
        <v>1.18</v>
      </c>
      <c r="L80" s="0" t="str">
        <f aca="false">"13.99"</f>
        <v>13.99</v>
      </c>
      <c r="M80" s="0" t="str">
        <f aca="false">"-69.2"</f>
        <v>-69.2</v>
      </c>
    </row>
    <row r="81" customFormat="false" ht="12.8" hidden="false" customHeight="false" outlineLevel="0" collapsed="false">
      <c r="A81" s="0" t="s">
        <v>2320</v>
      </c>
      <c r="B81" s="0" t="s">
        <v>9</v>
      </c>
      <c r="C81" s="0" t="str">
        <f aca="false">"971-982"</f>
        <v>971-982</v>
      </c>
      <c r="D81" s="0" t="s">
        <v>9</v>
      </c>
      <c r="E81" s="0" t="str">
        <f aca="false">"1088-1099"</f>
        <v>1088-1099</v>
      </c>
      <c r="F81" s="0" t="s">
        <v>2400</v>
      </c>
      <c r="G81" s="0" t="s">
        <v>13</v>
      </c>
      <c r="H81" s="0" t="str">
        <f aca="false">"249-260"</f>
        <v>249-260</v>
      </c>
      <c r="I81" s="0" t="s">
        <v>13</v>
      </c>
      <c r="J81" s="0" t="str">
        <f aca="false">"265-276"</f>
        <v>265-276</v>
      </c>
      <c r="K81" s="0" t="str">
        <f aca="false">"1.10"</f>
        <v>1.10</v>
      </c>
      <c r="L81" s="0" t="str">
        <f aca="false">"14.13"</f>
        <v>14.13</v>
      </c>
      <c r="M81" s="0" t="str">
        <f aca="false">"-72.5"</f>
        <v>-72.5</v>
      </c>
    </row>
    <row r="82" customFormat="false" ht="12.8" hidden="false" customHeight="false" outlineLevel="0" collapsed="false">
      <c r="A82" s="0" t="s">
        <v>2320</v>
      </c>
      <c r="B82" s="0" t="s">
        <v>9</v>
      </c>
      <c r="C82" s="0" t="str">
        <f aca="false">"977-988"</f>
        <v>977-988</v>
      </c>
      <c r="D82" s="0" t="s">
        <v>9</v>
      </c>
      <c r="E82" s="0" t="str">
        <f aca="false">"1088-1099"</f>
        <v>1088-1099</v>
      </c>
      <c r="F82" s="0" t="s">
        <v>2401</v>
      </c>
      <c r="G82" s="0" t="s">
        <v>9</v>
      </c>
      <c r="H82" s="0" t="str">
        <f aca="false">"77-88"</f>
        <v>77-88</v>
      </c>
      <c r="I82" s="0" t="s">
        <v>9</v>
      </c>
      <c r="J82" s="0" t="str">
        <f aca="false">"24-35"</f>
        <v>24-35</v>
      </c>
      <c r="K82" s="0" t="str">
        <f aca="false">"1.19"</f>
        <v>1.19</v>
      </c>
      <c r="L82" s="0" t="str">
        <f aca="false">"12.99"</f>
        <v>12.99</v>
      </c>
      <c r="M82" s="0" t="str">
        <f aca="false">"-86.9"</f>
        <v>-86.9</v>
      </c>
    </row>
    <row r="83" customFormat="false" ht="12.8" hidden="false" customHeight="false" outlineLevel="0" collapsed="false">
      <c r="A83" s="0" t="s">
        <v>2320</v>
      </c>
      <c r="B83" s="0" t="s">
        <v>9</v>
      </c>
      <c r="C83" s="0" t="str">
        <f aca="false">"978-989"</f>
        <v>978-989</v>
      </c>
      <c r="D83" s="0" t="s">
        <v>9</v>
      </c>
      <c r="E83" s="0" t="str">
        <f aca="false">"1083-1094"</f>
        <v>1083-1094</v>
      </c>
      <c r="F83" s="0" t="s">
        <v>2402</v>
      </c>
      <c r="G83" s="0" t="s">
        <v>13</v>
      </c>
      <c r="H83" s="0" t="str">
        <f aca="false">"18-29"</f>
        <v>18-29</v>
      </c>
      <c r="I83" s="0" t="s">
        <v>13</v>
      </c>
      <c r="J83" s="0" t="str">
        <f aca="false">"47-58"</f>
        <v>47-58</v>
      </c>
      <c r="K83" s="0" t="str">
        <f aca="false">"0.99"</f>
        <v>0.99</v>
      </c>
      <c r="L83" s="0" t="str">
        <f aca="false">"11.36"</f>
        <v>11.36</v>
      </c>
      <c r="M83" s="0" t="str">
        <f aca="false">"-68.1"</f>
        <v>-68.1</v>
      </c>
    </row>
    <row r="84" customFormat="false" ht="12.8" hidden="false" customHeight="false" outlineLevel="0" collapsed="false">
      <c r="A84" s="0" t="s">
        <v>2320</v>
      </c>
      <c r="B84" s="0" t="s">
        <v>9</v>
      </c>
      <c r="C84" s="0" t="str">
        <f aca="false">"978-989"</f>
        <v>978-989</v>
      </c>
      <c r="D84" s="0" t="s">
        <v>9</v>
      </c>
      <c r="E84" s="0" t="str">
        <f aca="false">"1084-1095"</f>
        <v>1084-1095</v>
      </c>
      <c r="F84" s="0" t="s">
        <v>2403</v>
      </c>
      <c r="G84" s="0" t="s">
        <v>13</v>
      </c>
      <c r="H84" s="0" t="str">
        <f aca="false">"122-133"</f>
        <v>122-133</v>
      </c>
      <c r="I84" s="0" t="s">
        <v>13</v>
      </c>
      <c r="J84" s="0" t="str">
        <f aca="false">"143-154"</f>
        <v>143-154</v>
      </c>
      <c r="K84" s="0" t="str">
        <f aca="false">"1.15"</f>
        <v>1.15</v>
      </c>
      <c r="L84" s="0" t="str">
        <f aca="false">"9.50"</f>
        <v>9.50</v>
      </c>
      <c r="M84" s="0" t="str">
        <f aca="false">"-75.3"</f>
        <v>-75.3</v>
      </c>
    </row>
    <row r="85" customFormat="false" ht="12.8" hidden="false" customHeight="false" outlineLevel="0" collapsed="false">
      <c r="A85" s="0" t="s">
        <v>2320</v>
      </c>
      <c r="B85" s="0" t="s">
        <v>9</v>
      </c>
      <c r="C85" s="0" t="str">
        <f aca="false">"972-983"</f>
        <v>972-983</v>
      </c>
      <c r="D85" s="0" t="s">
        <v>9</v>
      </c>
      <c r="E85" s="0" t="str">
        <f aca="false">"1083-1094"</f>
        <v>1083-1094</v>
      </c>
      <c r="F85" s="0" t="s">
        <v>2404</v>
      </c>
      <c r="G85" s="0" t="s">
        <v>9</v>
      </c>
      <c r="H85" s="0" t="str">
        <f aca="false">"387-398"</f>
        <v>387-398</v>
      </c>
      <c r="I85" s="0" t="s">
        <v>9</v>
      </c>
      <c r="J85" s="0" t="str">
        <f aca="false">"335-346"</f>
        <v>335-346</v>
      </c>
      <c r="K85" s="0" t="str">
        <f aca="false">"1.11"</f>
        <v>1.11</v>
      </c>
      <c r="L85" s="0" t="str">
        <f aca="false">"12.66"</f>
        <v>12.66</v>
      </c>
      <c r="M85" s="0" t="str">
        <f aca="false">"-88.0"</f>
        <v>-88.0</v>
      </c>
    </row>
    <row r="86" customFormat="false" ht="12.8" hidden="false" customHeight="false" outlineLevel="0" collapsed="false">
      <c r="A86" s="0" t="s">
        <v>2320</v>
      </c>
      <c r="B86" s="0" t="s">
        <v>9</v>
      </c>
      <c r="C86" s="0" t="str">
        <f aca="false">"974-985"</f>
        <v>974-985</v>
      </c>
      <c r="D86" s="0" t="s">
        <v>9</v>
      </c>
      <c r="E86" s="0" t="str">
        <f aca="false">"1086-1097"</f>
        <v>1086-1097</v>
      </c>
      <c r="F86" s="0" t="s">
        <v>2405</v>
      </c>
      <c r="G86" s="0" t="s">
        <v>9</v>
      </c>
      <c r="H86" s="0" t="str">
        <f aca="false">"243-254"</f>
        <v>243-254</v>
      </c>
      <c r="I86" s="0" t="s">
        <v>9</v>
      </c>
      <c r="J86" s="0" t="str">
        <f aca="false">"264-275"</f>
        <v>264-275</v>
      </c>
      <c r="K86" s="0" t="str">
        <f aca="false">"0.96"</f>
        <v>0.96</v>
      </c>
      <c r="L86" s="0" t="str">
        <f aca="false">"12.73"</f>
        <v>12.73</v>
      </c>
      <c r="M86" s="0" t="str">
        <f aca="false">"-65.7"</f>
        <v>-65.7</v>
      </c>
    </row>
    <row r="87" customFormat="false" ht="12.8" hidden="false" customHeight="false" outlineLevel="0" collapsed="false">
      <c r="A87" s="0" t="s">
        <v>2320</v>
      </c>
      <c r="B87" s="0" t="s">
        <v>9</v>
      </c>
      <c r="C87" s="0" t="str">
        <f aca="false">"973-984"</f>
        <v>973-984</v>
      </c>
      <c r="D87" s="0" t="s">
        <v>9</v>
      </c>
      <c r="E87" s="0" t="str">
        <f aca="false">"1087-1098"</f>
        <v>1087-1098</v>
      </c>
      <c r="F87" s="0" t="s">
        <v>2406</v>
      </c>
      <c r="G87" s="0" t="s">
        <v>9</v>
      </c>
      <c r="H87" s="0" t="str">
        <f aca="false">"383-394"</f>
        <v>383-394</v>
      </c>
      <c r="I87" s="0" t="s">
        <v>9</v>
      </c>
      <c r="J87" s="0" t="str">
        <f aca="false">"3-14"</f>
        <v>3-14</v>
      </c>
      <c r="K87" s="0" t="str">
        <f aca="false">"1.25"</f>
        <v>1.25</v>
      </c>
      <c r="L87" s="0" t="str">
        <f aca="false">"14.02"</f>
        <v>14.02</v>
      </c>
      <c r="M87" s="0" t="str">
        <f aca="false">"-61.2"</f>
        <v>-61.2</v>
      </c>
    </row>
    <row r="88" customFormat="false" ht="12.8" hidden="false" customHeight="false" outlineLevel="0" collapsed="false">
      <c r="A88" s="0" t="s">
        <v>2320</v>
      </c>
      <c r="B88" s="0" t="s">
        <v>9</v>
      </c>
      <c r="C88" s="0" t="str">
        <f aca="false">"975-986"</f>
        <v>975-986</v>
      </c>
      <c r="D88" s="0" t="s">
        <v>9</v>
      </c>
      <c r="E88" s="0" t="str">
        <f aca="false">"1082-1093"</f>
        <v>1082-1093</v>
      </c>
      <c r="F88" s="0" t="s">
        <v>2407</v>
      </c>
      <c r="G88" s="0" t="s">
        <v>9</v>
      </c>
      <c r="H88" s="0" t="str">
        <f aca="false">"5-16"</f>
        <v>5-16</v>
      </c>
      <c r="I88" s="0" t="s">
        <v>13</v>
      </c>
      <c r="J88" s="0" t="str">
        <f aca="false">"141-152"</f>
        <v>141-152</v>
      </c>
      <c r="K88" s="0" t="str">
        <f aca="false">"1.09"</f>
        <v>1.09</v>
      </c>
      <c r="L88" s="0" t="str">
        <f aca="false">"9.73"</f>
        <v>9.73</v>
      </c>
      <c r="M88" s="0" t="str">
        <f aca="false">"-58.9"</f>
        <v>-58.9</v>
      </c>
    </row>
    <row r="89" customFormat="false" ht="12.8" hidden="false" customHeight="false" outlineLevel="0" collapsed="false">
      <c r="A89" s="0" t="s">
        <v>2320</v>
      </c>
      <c r="B89" s="0" t="s">
        <v>9</v>
      </c>
      <c r="C89" s="0" t="str">
        <f aca="false">"977-988"</f>
        <v>977-988</v>
      </c>
      <c r="D89" s="0" t="s">
        <v>9</v>
      </c>
      <c r="E89" s="0" t="str">
        <f aca="false">"1085-1096"</f>
        <v>1085-1096</v>
      </c>
      <c r="F89" s="0" t="s">
        <v>2408</v>
      </c>
      <c r="G89" s="0" t="s">
        <v>13</v>
      </c>
      <c r="H89" s="0" t="str">
        <f aca="false">"184-195"</f>
        <v>184-195</v>
      </c>
      <c r="I89" s="0" t="s">
        <v>9</v>
      </c>
      <c r="J89" s="0" t="str">
        <f aca="false">"158-169"</f>
        <v>158-169</v>
      </c>
      <c r="K89" s="0" t="str">
        <f aca="false">"1.25"</f>
        <v>1.25</v>
      </c>
      <c r="L89" s="0" t="str">
        <f aca="false">"11.40"</f>
        <v>11.40</v>
      </c>
      <c r="M89" s="0" t="str">
        <f aca="false">"-71.4"</f>
        <v>-71.4</v>
      </c>
    </row>
    <row r="90" customFormat="false" ht="12.8" hidden="false" customHeight="false" outlineLevel="0" collapsed="false">
      <c r="A90" s="0" t="s">
        <v>2320</v>
      </c>
      <c r="B90" s="0" t="s">
        <v>9</v>
      </c>
      <c r="C90" s="0" t="str">
        <f aca="false">"976-987"</f>
        <v>976-987</v>
      </c>
      <c r="D90" s="0" t="s">
        <v>9</v>
      </c>
      <c r="E90" s="0" t="str">
        <f aca="false">"1087-1098"</f>
        <v>1087-1098</v>
      </c>
      <c r="F90" s="0" t="s">
        <v>2409</v>
      </c>
      <c r="G90" s="0" t="s">
        <v>9</v>
      </c>
      <c r="H90" s="0" t="str">
        <f aca="false">"336-347"</f>
        <v>336-347</v>
      </c>
      <c r="I90" s="0" t="s">
        <v>9</v>
      </c>
      <c r="J90" s="0" t="str">
        <f aca="false">"310-321"</f>
        <v>310-321</v>
      </c>
      <c r="K90" s="0" t="str">
        <f aca="false">"0.90"</f>
        <v>0.90</v>
      </c>
      <c r="L90" s="0" t="str">
        <f aca="false">"10.61"</f>
        <v>10.61</v>
      </c>
      <c r="M90" s="0" t="str">
        <f aca="false">"-72.7"</f>
        <v>-72.7</v>
      </c>
    </row>
    <row r="91" customFormat="false" ht="12.8" hidden="false" customHeight="false" outlineLevel="0" collapsed="false">
      <c r="A91" s="0" t="s">
        <v>2320</v>
      </c>
      <c r="B91" s="0" t="s">
        <v>9</v>
      </c>
      <c r="C91" s="0" t="str">
        <f aca="false">"973-984"</f>
        <v>973-984</v>
      </c>
      <c r="D91" s="0" t="s">
        <v>9</v>
      </c>
      <c r="E91" s="0" t="str">
        <f aca="false">"1087-1098"</f>
        <v>1087-1098</v>
      </c>
      <c r="F91" s="0" t="s">
        <v>2410</v>
      </c>
      <c r="G91" s="0" t="s">
        <v>13</v>
      </c>
      <c r="H91" s="0" t="str">
        <f aca="false">"177-188"</f>
        <v>177-188</v>
      </c>
      <c r="I91" s="0" t="s">
        <v>13</v>
      </c>
      <c r="J91" s="0" t="str">
        <f aca="false">"216-227"</f>
        <v>216-227</v>
      </c>
      <c r="K91" s="0" t="str">
        <f aca="false">"1.12"</f>
        <v>1.12</v>
      </c>
      <c r="L91" s="0" t="str">
        <f aca="false">"13.24"</f>
        <v>13.24</v>
      </c>
      <c r="M91" s="0" t="str">
        <f aca="false">"-86.0"</f>
        <v>-86.0</v>
      </c>
    </row>
    <row r="92" customFormat="false" ht="12.8" hidden="false" customHeight="false" outlineLevel="0" collapsed="false">
      <c r="A92" s="0" t="s">
        <v>2320</v>
      </c>
      <c r="B92" s="0" t="s">
        <v>9</v>
      </c>
      <c r="C92" s="0" t="str">
        <f aca="false">"975-986"</f>
        <v>975-986</v>
      </c>
      <c r="D92" s="0" t="s">
        <v>9</v>
      </c>
      <c r="E92" s="0" t="str">
        <f aca="false">"1087-1098"</f>
        <v>1087-1098</v>
      </c>
      <c r="F92" s="0" t="s">
        <v>2411</v>
      </c>
      <c r="G92" s="0" t="s">
        <v>13</v>
      </c>
      <c r="H92" s="0" t="str">
        <f aca="false">"168-179"</f>
        <v>168-179</v>
      </c>
      <c r="I92" s="0" t="s">
        <v>9</v>
      </c>
      <c r="J92" s="0" t="str">
        <f aca="false">"127-138"</f>
        <v>127-138</v>
      </c>
      <c r="K92" s="0" t="str">
        <f aca="false">"0.86"</f>
        <v>0.86</v>
      </c>
      <c r="L92" s="0" t="str">
        <f aca="false">"11.40"</f>
        <v>11.40</v>
      </c>
      <c r="M92" s="0" t="str">
        <f aca="false">"-70.7"</f>
        <v>-70.7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65816326530612"/>
    <col collapsed="false" hidden="false" max="2" min="2" style="0" width="6.95408163265306"/>
    <col collapsed="false" hidden="false" max="3" min="3" style="0" width="5.87755102040816"/>
    <col collapsed="false" hidden="false" max="4" min="4" style="0" width="6.95408163265306"/>
    <col collapsed="false" hidden="false" max="5" min="5" style="0" width="5.87755102040816"/>
    <col collapsed="false" hidden="false" max="6" min="6" style="0" width="13.4336734693878"/>
    <col collapsed="false" hidden="false" max="7" min="7" style="0" width="6.95408163265306"/>
    <col collapsed="false" hidden="false" max="8" min="8" style="0" width="7.76530612244898"/>
    <col collapsed="false" hidden="false" max="9" min="9" style="0" width="6.95408163265306"/>
    <col collapsed="false" hidden="false" max="10" min="10" style="0" width="7.76530612244898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2412</v>
      </c>
      <c r="B2" s="0" t="s">
        <v>9</v>
      </c>
      <c r="C2" s="0" t="str">
        <f aca="false">"45-56"</f>
        <v>45-56</v>
      </c>
      <c r="D2" s="0" t="s">
        <v>13</v>
      </c>
      <c r="E2" s="0" t="str">
        <f aca="false">"32-43"</f>
        <v>32-43</v>
      </c>
      <c r="F2" s="0" t="s">
        <v>2413</v>
      </c>
      <c r="G2" s="0" t="s">
        <v>13</v>
      </c>
      <c r="H2" s="0" t="str">
        <f aca="false">"69-80"</f>
        <v>69-80</v>
      </c>
      <c r="I2" s="0" t="s">
        <v>9</v>
      </c>
      <c r="J2" s="0" t="str">
        <f aca="false">"84-95"</f>
        <v>84-95</v>
      </c>
      <c r="K2" s="0" t="str">
        <f aca="false">"0.56"</f>
        <v>0.56</v>
      </c>
      <c r="L2" s="0" t="str">
        <f aca="false">"10.36"</f>
        <v>10.36</v>
      </c>
      <c r="M2" s="0" t="str">
        <f aca="false">"133.5"</f>
        <v>133.5</v>
      </c>
    </row>
    <row r="3" customFormat="false" ht="12.8" hidden="false" customHeight="false" outlineLevel="0" collapsed="false">
      <c r="A3" s="0" t="s">
        <v>2412</v>
      </c>
      <c r="B3" s="0" t="s">
        <v>9</v>
      </c>
      <c r="C3" s="0" t="str">
        <f aca="false">"45-56"</f>
        <v>45-56</v>
      </c>
      <c r="D3" s="0" t="s">
        <v>13</v>
      </c>
      <c r="E3" s="0" t="str">
        <f aca="false">"32-43"</f>
        <v>32-43</v>
      </c>
      <c r="F3" s="0" t="s">
        <v>2414</v>
      </c>
      <c r="G3" s="0" t="s">
        <v>9</v>
      </c>
      <c r="H3" s="0" t="str">
        <f aca="false">"130-141"</f>
        <v>130-141</v>
      </c>
      <c r="I3" s="0" t="s">
        <v>9</v>
      </c>
      <c r="J3" s="0" t="str">
        <f aca="false">"106-117"</f>
        <v>106-117</v>
      </c>
      <c r="K3" s="0" t="str">
        <f aca="false">"1.06"</f>
        <v>1.06</v>
      </c>
      <c r="L3" s="0" t="str">
        <f aca="false">"10.40"</f>
        <v>10.40</v>
      </c>
      <c r="M3" s="0" t="str">
        <f aca="false">"151.4"</f>
        <v>151.4</v>
      </c>
    </row>
    <row r="4" customFormat="false" ht="12.8" hidden="false" customHeight="false" outlineLevel="0" collapsed="false">
      <c r="A4" s="0" t="s">
        <v>2412</v>
      </c>
      <c r="B4" s="0" t="s">
        <v>9</v>
      </c>
      <c r="C4" s="0" t="str">
        <f aca="false">"45-56"</f>
        <v>45-56</v>
      </c>
      <c r="D4" s="0" t="s">
        <v>13</v>
      </c>
      <c r="E4" s="0" t="str">
        <f aca="false">"32-43"</f>
        <v>32-43</v>
      </c>
      <c r="F4" s="0" t="s">
        <v>2415</v>
      </c>
      <c r="G4" s="0" t="s">
        <v>9</v>
      </c>
      <c r="H4" s="0" t="str">
        <f aca="false">"117-128"</f>
        <v>117-128</v>
      </c>
      <c r="I4" s="0" t="s">
        <v>9</v>
      </c>
      <c r="J4" s="0" t="str">
        <f aca="false">"144-155"</f>
        <v>144-155</v>
      </c>
      <c r="K4" s="0" t="str">
        <f aca="false">"1.05"</f>
        <v>1.05</v>
      </c>
      <c r="L4" s="0" t="str">
        <f aca="false">"10.69"</f>
        <v>10.69</v>
      </c>
      <c r="M4" s="0" t="str">
        <f aca="false">"142.0"</f>
        <v>142.0</v>
      </c>
    </row>
    <row r="5" customFormat="false" ht="12.8" hidden="false" customHeight="false" outlineLevel="0" collapsed="false">
      <c r="A5" s="0" t="s">
        <v>2412</v>
      </c>
      <c r="B5" s="0" t="s">
        <v>9</v>
      </c>
      <c r="C5" s="0" t="str">
        <f aca="false">"41-52"</f>
        <v>41-52</v>
      </c>
      <c r="D5" s="0" t="s">
        <v>13</v>
      </c>
      <c r="E5" s="0" t="str">
        <f aca="false">"33-44"</f>
        <v>33-44</v>
      </c>
      <c r="F5" s="0" t="s">
        <v>2416</v>
      </c>
      <c r="G5" s="0" t="s">
        <v>9</v>
      </c>
      <c r="H5" s="0" t="str">
        <f aca="false">"113-124"</f>
        <v>113-124</v>
      </c>
      <c r="I5" s="0" t="s">
        <v>9</v>
      </c>
      <c r="J5" s="0" t="str">
        <f aca="false">"224-235"</f>
        <v>224-235</v>
      </c>
      <c r="K5" s="0" t="str">
        <f aca="false">"0.80"</f>
        <v>0.80</v>
      </c>
      <c r="L5" s="0" t="str">
        <f aca="false">"11.33"</f>
        <v>11.33</v>
      </c>
      <c r="M5" s="0" t="str">
        <f aca="false">"150.7"</f>
        <v>150.7</v>
      </c>
    </row>
    <row r="6" customFormat="false" ht="12.8" hidden="false" customHeight="false" outlineLevel="0" collapsed="false">
      <c r="A6" s="0" t="s">
        <v>2412</v>
      </c>
      <c r="B6" s="0" t="s">
        <v>9</v>
      </c>
      <c r="C6" s="0" t="str">
        <f aca="false">"45-56"</f>
        <v>45-56</v>
      </c>
      <c r="D6" s="0" t="s">
        <v>13</v>
      </c>
      <c r="E6" s="0" t="str">
        <f aca="false">"32-43"</f>
        <v>32-43</v>
      </c>
      <c r="F6" s="0" t="s">
        <v>2417</v>
      </c>
      <c r="G6" s="0" t="s">
        <v>9</v>
      </c>
      <c r="H6" s="0" t="str">
        <f aca="false">"329-340"</f>
        <v>329-340</v>
      </c>
      <c r="I6" s="0" t="s">
        <v>9</v>
      </c>
      <c r="J6" s="0" t="str">
        <f aca="false">"249-260"</f>
        <v>249-260</v>
      </c>
      <c r="K6" s="0" t="str">
        <f aca="false">"1.02"</f>
        <v>1.02</v>
      </c>
      <c r="L6" s="0" t="str">
        <f aca="false">"10.37"</f>
        <v>10.37</v>
      </c>
      <c r="M6" s="0" t="str">
        <f aca="false">"147.2"</f>
        <v>147.2</v>
      </c>
    </row>
    <row r="7" customFormat="false" ht="12.8" hidden="false" customHeight="false" outlineLevel="0" collapsed="false">
      <c r="A7" s="0" t="s">
        <v>2412</v>
      </c>
      <c r="B7" s="0" t="s">
        <v>9</v>
      </c>
      <c r="C7" s="0" t="str">
        <f aca="false">"45-56"</f>
        <v>45-56</v>
      </c>
      <c r="D7" s="0" t="s">
        <v>13</v>
      </c>
      <c r="E7" s="0" t="str">
        <f aca="false">"32-43"</f>
        <v>32-43</v>
      </c>
      <c r="F7" s="0" t="s">
        <v>2418</v>
      </c>
      <c r="G7" s="0" t="s">
        <v>9</v>
      </c>
      <c r="H7" s="0" t="str">
        <f aca="false">"238-249"</f>
        <v>238-249</v>
      </c>
      <c r="I7" s="0" t="s">
        <v>13</v>
      </c>
      <c r="J7" s="0" t="str">
        <f aca="false">"238-249"</f>
        <v>238-249</v>
      </c>
      <c r="K7" s="0" t="str">
        <f aca="false">"0.78"</f>
        <v>0.78</v>
      </c>
      <c r="L7" s="0" t="str">
        <f aca="false">"11.01"</f>
        <v>11.01</v>
      </c>
      <c r="M7" s="0" t="str">
        <f aca="false">"125.6"</f>
        <v>125.6</v>
      </c>
    </row>
    <row r="8" customFormat="false" ht="12.8" hidden="false" customHeight="false" outlineLevel="0" collapsed="false">
      <c r="A8" s="0" t="s">
        <v>2412</v>
      </c>
      <c r="B8" s="0" t="s">
        <v>9</v>
      </c>
      <c r="C8" s="0" t="str">
        <f aca="false">"49-60"</f>
        <v>49-60</v>
      </c>
      <c r="D8" s="0" t="s">
        <v>13</v>
      </c>
      <c r="E8" s="0" t="str">
        <f aca="false">"28-39"</f>
        <v>28-39</v>
      </c>
      <c r="F8" s="0" t="s">
        <v>2419</v>
      </c>
      <c r="G8" s="0" t="s">
        <v>9</v>
      </c>
      <c r="H8" s="0" t="str">
        <f aca="false">"131-142"</f>
        <v>131-142</v>
      </c>
      <c r="I8" s="0" t="s">
        <v>9</v>
      </c>
      <c r="J8" s="0" t="str">
        <f aca="false">"107-118"</f>
        <v>107-118</v>
      </c>
      <c r="K8" s="0" t="str">
        <f aca="false">"1.00"</f>
        <v>1.00</v>
      </c>
      <c r="L8" s="0" t="str">
        <f aca="false">"10.50"</f>
        <v>10.50</v>
      </c>
      <c r="M8" s="0" t="str">
        <f aca="false">"151.4"</f>
        <v>151.4</v>
      </c>
    </row>
    <row r="9" customFormat="false" ht="12.8" hidden="false" customHeight="false" outlineLevel="0" collapsed="false">
      <c r="A9" s="0" t="s">
        <v>2412</v>
      </c>
      <c r="B9" s="0" t="s">
        <v>9</v>
      </c>
      <c r="C9" s="0" t="str">
        <f aca="false">"41-52"</f>
        <v>41-52</v>
      </c>
      <c r="D9" s="0" t="s">
        <v>13</v>
      </c>
      <c r="E9" s="0" t="str">
        <f aca="false">"37-48"</f>
        <v>37-48</v>
      </c>
      <c r="F9" s="0" t="s">
        <v>2420</v>
      </c>
      <c r="G9" s="0" t="s">
        <v>9</v>
      </c>
      <c r="H9" s="0" t="str">
        <f aca="false">"197-208"</f>
        <v>197-208</v>
      </c>
      <c r="I9" s="0" t="s">
        <v>9</v>
      </c>
      <c r="J9" s="0" t="str">
        <f aca="false">"212-223"</f>
        <v>212-223</v>
      </c>
      <c r="K9" s="0" t="str">
        <f aca="false">"0.88"</f>
        <v>0.88</v>
      </c>
      <c r="L9" s="0" t="str">
        <f aca="false">"11.64"</f>
        <v>11.64</v>
      </c>
      <c r="M9" s="0" t="str">
        <f aca="false">"133.0"</f>
        <v>133.0</v>
      </c>
    </row>
    <row r="10" customFormat="false" ht="12.8" hidden="false" customHeight="false" outlineLevel="0" collapsed="false">
      <c r="A10" s="0" t="s">
        <v>2412</v>
      </c>
      <c r="B10" s="0" t="s">
        <v>9</v>
      </c>
      <c r="C10" s="0" t="str">
        <f aca="false">"45-56"</f>
        <v>45-56</v>
      </c>
      <c r="D10" s="0" t="s">
        <v>13</v>
      </c>
      <c r="E10" s="0" t="str">
        <f aca="false">"32-43"</f>
        <v>32-43</v>
      </c>
      <c r="F10" s="0" t="s">
        <v>1472</v>
      </c>
      <c r="G10" s="0" t="s">
        <v>24</v>
      </c>
      <c r="H10" s="0" t="str">
        <f aca="false">"258-269"</f>
        <v>258-269</v>
      </c>
      <c r="I10" s="0" t="s">
        <v>70</v>
      </c>
      <c r="J10" s="0" t="str">
        <f aca="false">"145-156"</f>
        <v>145-156</v>
      </c>
      <c r="K10" s="0" t="str">
        <f aca="false">"1.15"</f>
        <v>1.15</v>
      </c>
      <c r="L10" s="0" t="str">
        <f aca="false">"10.87"</f>
        <v>10.87</v>
      </c>
      <c r="M10" s="0" t="str">
        <f aca="false">"152.9"</f>
        <v>152.9</v>
      </c>
    </row>
    <row r="11" customFormat="false" ht="12.8" hidden="false" customHeight="false" outlineLevel="0" collapsed="false">
      <c r="A11" s="0" t="s">
        <v>2412</v>
      </c>
      <c r="B11" s="0" t="s">
        <v>9</v>
      </c>
      <c r="C11" s="0" t="str">
        <f aca="false">"44-55"</f>
        <v>44-55</v>
      </c>
      <c r="D11" s="0" t="s">
        <v>13</v>
      </c>
      <c r="E11" s="0" t="str">
        <f aca="false">"33-44"</f>
        <v>33-44</v>
      </c>
      <c r="F11" s="0" t="s">
        <v>2421</v>
      </c>
      <c r="G11" s="0" t="s">
        <v>9</v>
      </c>
      <c r="H11" s="0" t="str">
        <f aca="false">"524-535"</f>
        <v>524-535</v>
      </c>
      <c r="I11" s="0" t="s">
        <v>9</v>
      </c>
      <c r="J11" s="0" t="str">
        <f aca="false">"541-552"</f>
        <v>541-552</v>
      </c>
      <c r="K11" s="0" t="str">
        <f aca="false">"0.97"</f>
        <v>0.97</v>
      </c>
      <c r="L11" s="0" t="str">
        <f aca="false">"11.85"</f>
        <v>11.85</v>
      </c>
      <c r="M11" s="0" t="str">
        <f aca="false">"138.3"</f>
        <v>138.3</v>
      </c>
    </row>
    <row r="12" customFormat="false" ht="12.8" hidden="false" customHeight="false" outlineLevel="0" collapsed="false">
      <c r="A12" s="0" t="s">
        <v>2412</v>
      </c>
      <c r="B12" s="0" t="s">
        <v>9</v>
      </c>
      <c r="C12" s="0" t="str">
        <f aca="false">"49-60"</f>
        <v>49-60</v>
      </c>
      <c r="D12" s="0" t="s">
        <v>13</v>
      </c>
      <c r="E12" s="0" t="str">
        <f aca="false">"28-39"</f>
        <v>28-39</v>
      </c>
      <c r="F12" s="0" t="s">
        <v>2422</v>
      </c>
      <c r="G12" s="0" t="s">
        <v>9</v>
      </c>
      <c r="H12" s="0" t="str">
        <f aca="false">"132-143"</f>
        <v>132-143</v>
      </c>
      <c r="I12" s="0" t="s">
        <v>9</v>
      </c>
      <c r="J12" s="0" t="str">
        <f aca="false">"341-352"</f>
        <v>341-352</v>
      </c>
      <c r="K12" s="0" t="str">
        <f aca="false">"1.21"</f>
        <v>1.21</v>
      </c>
      <c r="L12" s="0" t="str">
        <f aca="false">"11.59"</f>
        <v>11.59</v>
      </c>
      <c r="M12" s="0" t="str">
        <f aca="false">"126.9"</f>
        <v>126.9</v>
      </c>
    </row>
    <row r="13" customFormat="false" ht="12.8" hidden="false" customHeight="false" outlineLevel="0" collapsed="false">
      <c r="A13" s="0" t="s">
        <v>2412</v>
      </c>
      <c r="B13" s="0" t="s">
        <v>9</v>
      </c>
      <c r="C13" s="0" t="str">
        <f aca="false">"45-56"</f>
        <v>45-56</v>
      </c>
      <c r="D13" s="0" t="s">
        <v>13</v>
      </c>
      <c r="E13" s="0" t="str">
        <f aca="false">"33-44"</f>
        <v>33-44</v>
      </c>
      <c r="F13" s="0" t="s">
        <v>2423</v>
      </c>
      <c r="G13" s="0" t="s">
        <v>2424</v>
      </c>
      <c r="H13" s="0" t="str">
        <f aca="false">"55-66"</f>
        <v>55-66</v>
      </c>
      <c r="I13" s="0" t="s">
        <v>2424</v>
      </c>
      <c r="J13" s="0" t="str">
        <f aca="false">"76-87"</f>
        <v>76-87</v>
      </c>
      <c r="K13" s="0" t="str">
        <f aca="false">"1.03"</f>
        <v>1.03</v>
      </c>
      <c r="L13" s="0" t="str">
        <f aca="false">"11.82"</f>
        <v>11.82</v>
      </c>
      <c r="M13" s="0" t="str">
        <f aca="false">"133.7"</f>
        <v>133.7</v>
      </c>
    </row>
    <row r="14" customFormat="false" ht="12.8" hidden="false" customHeight="false" outlineLevel="0" collapsed="false">
      <c r="A14" s="0" t="s">
        <v>2412</v>
      </c>
      <c r="B14" s="0" t="s">
        <v>9</v>
      </c>
      <c r="C14" s="0" t="str">
        <f aca="false">"45-56"</f>
        <v>45-56</v>
      </c>
      <c r="D14" s="0" t="s">
        <v>13</v>
      </c>
      <c r="E14" s="0" t="str">
        <f aca="false">"32-43"</f>
        <v>32-43</v>
      </c>
      <c r="F14" s="0" t="s">
        <v>2425</v>
      </c>
      <c r="G14" s="0" t="s">
        <v>13</v>
      </c>
      <c r="H14" s="0" t="str">
        <f aca="false">"32-43"</f>
        <v>32-43</v>
      </c>
      <c r="I14" s="0" t="s">
        <v>13</v>
      </c>
      <c r="J14" s="0" t="str">
        <f aca="false">"113-124"</f>
        <v>113-124</v>
      </c>
      <c r="K14" s="0" t="str">
        <f aca="false">"1.04"</f>
        <v>1.04</v>
      </c>
      <c r="L14" s="0" t="str">
        <f aca="false">"8.93"</f>
        <v>8.93</v>
      </c>
      <c r="M14" s="0" t="str">
        <f aca="false">"127.2"</f>
        <v>127.2</v>
      </c>
    </row>
    <row r="15" customFormat="false" ht="12.8" hidden="false" customHeight="false" outlineLevel="0" collapsed="false">
      <c r="A15" s="0" t="s">
        <v>2412</v>
      </c>
      <c r="B15" s="0" t="s">
        <v>9</v>
      </c>
      <c r="C15" s="0" t="str">
        <f aca="false">"42-53"</f>
        <v>42-53</v>
      </c>
      <c r="D15" s="0" t="s">
        <v>13</v>
      </c>
      <c r="E15" s="0" t="str">
        <f aca="false">"33-44"</f>
        <v>33-44</v>
      </c>
      <c r="F15" s="0" t="s">
        <v>2426</v>
      </c>
      <c r="G15" s="0" t="s">
        <v>9</v>
      </c>
      <c r="H15" s="0" t="str">
        <f aca="false">"86-97"</f>
        <v>86-97</v>
      </c>
      <c r="I15" s="0" t="s">
        <v>13</v>
      </c>
      <c r="J15" s="0" t="str">
        <f aca="false">"86-97"</f>
        <v>86-97</v>
      </c>
      <c r="K15" s="0" t="str">
        <f aca="false">"1.11"</f>
        <v>1.11</v>
      </c>
      <c r="L15" s="0" t="str">
        <f aca="false">"10.27"</f>
        <v>10.27</v>
      </c>
      <c r="M15" s="0" t="str">
        <f aca="false">"158.2"</f>
        <v>158.2</v>
      </c>
    </row>
    <row r="16" customFormat="false" ht="12.8" hidden="false" customHeight="false" outlineLevel="0" collapsed="false">
      <c r="A16" s="0" t="s">
        <v>2412</v>
      </c>
      <c r="B16" s="0" t="s">
        <v>9</v>
      </c>
      <c r="C16" s="0" t="str">
        <f aca="false">"42-53"</f>
        <v>42-53</v>
      </c>
      <c r="D16" s="0" t="s">
        <v>13</v>
      </c>
      <c r="E16" s="0" t="str">
        <f aca="false">"34-45"</f>
        <v>34-45</v>
      </c>
      <c r="F16" s="0" t="s">
        <v>2427</v>
      </c>
      <c r="G16" s="0" t="s">
        <v>120</v>
      </c>
      <c r="H16" s="0" t="str">
        <f aca="false">"458-469"</f>
        <v>458-469</v>
      </c>
      <c r="I16" s="0" t="s">
        <v>120</v>
      </c>
      <c r="J16" s="0" t="str">
        <f aca="false">"442-453"</f>
        <v>442-453</v>
      </c>
      <c r="K16" s="0" t="str">
        <f aca="false">"0.70"</f>
        <v>0.70</v>
      </c>
      <c r="L16" s="0" t="str">
        <f aca="false">"10.54"</f>
        <v>10.54</v>
      </c>
      <c r="M16" s="0" t="str">
        <f aca="false">"128.8"</f>
        <v>128.8</v>
      </c>
    </row>
    <row r="17" customFormat="false" ht="12.8" hidden="false" customHeight="false" outlineLevel="0" collapsed="false">
      <c r="A17" s="0" t="s">
        <v>2412</v>
      </c>
      <c r="B17" s="0" t="s">
        <v>9</v>
      </c>
      <c r="C17" s="0" t="str">
        <f aca="false">"43-54"</f>
        <v>43-54</v>
      </c>
      <c r="D17" s="0" t="s">
        <v>13</v>
      </c>
      <c r="E17" s="0" t="str">
        <f aca="false">"33-44"</f>
        <v>33-44</v>
      </c>
      <c r="F17" s="0" t="s">
        <v>2428</v>
      </c>
      <c r="G17" s="0" t="s">
        <v>9</v>
      </c>
      <c r="H17" s="0" t="str">
        <f aca="false">"69-80"</f>
        <v>69-80</v>
      </c>
      <c r="I17" s="0" t="s">
        <v>9</v>
      </c>
      <c r="J17" s="0" t="str">
        <f aca="false">"84-95"</f>
        <v>84-95</v>
      </c>
      <c r="K17" s="0" t="str">
        <f aca="false">"1.17"</f>
        <v>1.17</v>
      </c>
      <c r="L17" s="0" t="str">
        <f aca="false">"10.43"</f>
        <v>10.43</v>
      </c>
      <c r="M17" s="0" t="str">
        <f aca="false">"135.4"</f>
        <v>135.4</v>
      </c>
    </row>
    <row r="18" customFormat="false" ht="12.8" hidden="false" customHeight="false" outlineLevel="0" collapsed="false">
      <c r="A18" s="0" t="s">
        <v>2412</v>
      </c>
      <c r="B18" s="0" t="s">
        <v>9</v>
      </c>
      <c r="C18" s="0" t="str">
        <f aca="false">"45-56"</f>
        <v>45-56</v>
      </c>
      <c r="D18" s="0" t="s">
        <v>13</v>
      </c>
      <c r="E18" s="0" t="str">
        <f aca="false">"32-43"</f>
        <v>32-43</v>
      </c>
      <c r="F18" s="0" t="s">
        <v>2429</v>
      </c>
      <c r="G18" s="0" t="s">
        <v>9</v>
      </c>
      <c r="H18" s="0" t="str">
        <f aca="false">"112-123"</f>
        <v>112-123</v>
      </c>
      <c r="I18" s="0" t="s">
        <v>9</v>
      </c>
      <c r="J18" s="0" t="str">
        <f aca="false">"58-69"</f>
        <v>58-69</v>
      </c>
      <c r="K18" s="0" t="str">
        <f aca="false">"1.19"</f>
        <v>1.19</v>
      </c>
      <c r="L18" s="0" t="str">
        <f aca="false">"10.49"</f>
        <v>10.49</v>
      </c>
      <c r="M18" s="0" t="str">
        <f aca="false">"124.4"</f>
        <v>124.4</v>
      </c>
    </row>
    <row r="19" customFormat="false" ht="12.8" hidden="false" customHeight="false" outlineLevel="0" collapsed="false">
      <c r="A19" s="0" t="s">
        <v>2412</v>
      </c>
      <c r="B19" s="0" t="s">
        <v>9</v>
      </c>
      <c r="C19" s="0" t="str">
        <f aca="false">"48-59"</f>
        <v>48-59</v>
      </c>
      <c r="D19" s="0" t="s">
        <v>13</v>
      </c>
      <c r="E19" s="0" t="str">
        <f aca="false">"35-46"</f>
        <v>35-46</v>
      </c>
      <c r="F19" s="0" t="s">
        <v>2430</v>
      </c>
      <c r="G19" s="0" t="s">
        <v>9</v>
      </c>
      <c r="H19" s="0" t="str">
        <f aca="false">"172-183"</f>
        <v>172-183</v>
      </c>
      <c r="I19" s="0" t="s">
        <v>9</v>
      </c>
      <c r="J19" s="0" t="str">
        <f aca="false">"86-97"</f>
        <v>86-97</v>
      </c>
      <c r="K19" s="0" t="str">
        <f aca="false">"1.11"</f>
        <v>1.11</v>
      </c>
      <c r="L19" s="0" t="str">
        <f aca="false">"11.87"</f>
        <v>11.87</v>
      </c>
      <c r="M19" s="0" t="str">
        <f aca="false">"143.2"</f>
        <v>143.2</v>
      </c>
    </row>
    <row r="20" customFormat="false" ht="12.8" hidden="false" customHeight="false" outlineLevel="0" collapsed="false">
      <c r="A20" s="0" t="s">
        <v>2412</v>
      </c>
      <c r="B20" s="0" t="s">
        <v>9</v>
      </c>
      <c r="C20" s="0" t="str">
        <f aca="false">"48-59"</f>
        <v>48-59</v>
      </c>
      <c r="D20" s="0" t="s">
        <v>13</v>
      </c>
      <c r="E20" s="0" t="str">
        <f aca="false">"35-46"</f>
        <v>35-46</v>
      </c>
      <c r="F20" s="0" t="s">
        <v>2431</v>
      </c>
      <c r="G20" s="0" t="s">
        <v>9</v>
      </c>
      <c r="H20" s="0" t="str">
        <f aca="false">"201-212"</f>
        <v>201-212</v>
      </c>
      <c r="I20" s="0" t="s">
        <v>9</v>
      </c>
      <c r="J20" s="0" t="str">
        <f aca="false">"86-97"</f>
        <v>86-97</v>
      </c>
      <c r="K20" s="0" t="str">
        <f aca="false">"1.21"</f>
        <v>1.21</v>
      </c>
      <c r="L20" s="0" t="str">
        <f aca="false">"11.69"</f>
        <v>11.69</v>
      </c>
      <c r="M20" s="0" t="str">
        <f aca="false">"141.6"</f>
        <v>141.6</v>
      </c>
    </row>
    <row r="21" customFormat="false" ht="12.8" hidden="false" customHeight="false" outlineLevel="0" collapsed="false">
      <c r="A21" s="0" t="s">
        <v>2412</v>
      </c>
      <c r="B21" s="0" t="s">
        <v>9</v>
      </c>
      <c r="C21" s="0" t="str">
        <f aca="false">"42-53"</f>
        <v>42-53</v>
      </c>
      <c r="D21" s="0" t="s">
        <v>13</v>
      </c>
      <c r="E21" s="0" t="str">
        <f aca="false">"36-47"</f>
        <v>36-47</v>
      </c>
      <c r="F21" s="0" t="s">
        <v>2432</v>
      </c>
      <c r="G21" s="0" t="s">
        <v>1942</v>
      </c>
      <c r="H21" s="0" t="str">
        <f aca="false">"71-82"</f>
        <v>71-82</v>
      </c>
      <c r="I21" s="0" t="s">
        <v>1942</v>
      </c>
      <c r="J21" s="0" t="str">
        <f aca="false">"89-100"</f>
        <v>89-100</v>
      </c>
      <c r="K21" s="0" t="str">
        <f aca="false">"1.04"</f>
        <v>1.04</v>
      </c>
      <c r="L21" s="0" t="str">
        <f aca="false">"9.56"</f>
        <v>9.56</v>
      </c>
      <c r="M21" s="0" t="str">
        <f aca="false">"137.5"</f>
        <v>137.5</v>
      </c>
    </row>
    <row r="22" customFormat="false" ht="12.8" hidden="false" customHeight="false" outlineLevel="0" collapsed="false">
      <c r="A22" s="0" t="s">
        <v>2412</v>
      </c>
      <c r="B22" s="0" t="s">
        <v>9</v>
      </c>
      <c r="C22" s="0" t="str">
        <f aca="false">"45-56"</f>
        <v>45-56</v>
      </c>
      <c r="D22" s="0" t="s">
        <v>13</v>
      </c>
      <c r="E22" s="0" t="str">
        <f aca="false">"32-43"</f>
        <v>32-43</v>
      </c>
      <c r="F22" s="0" t="s">
        <v>2433</v>
      </c>
      <c r="G22" s="0" t="s">
        <v>9</v>
      </c>
      <c r="H22" s="0" t="str">
        <f aca="false">"210-221"</f>
        <v>210-221</v>
      </c>
      <c r="I22" s="0" t="s">
        <v>13</v>
      </c>
      <c r="J22" s="0" t="str">
        <f aca="false">"206-217"</f>
        <v>206-217</v>
      </c>
      <c r="K22" s="0" t="str">
        <f aca="false">"1.17"</f>
        <v>1.17</v>
      </c>
      <c r="L22" s="0" t="str">
        <f aca="false">"9.86"</f>
        <v>9.86</v>
      </c>
      <c r="M22" s="0" t="str">
        <f aca="false">"150.2"</f>
        <v>150.2</v>
      </c>
    </row>
    <row r="23" customFormat="false" ht="12.8" hidden="false" customHeight="false" outlineLevel="0" collapsed="false">
      <c r="A23" s="0" t="s">
        <v>2412</v>
      </c>
      <c r="B23" s="0" t="s">
        <v>9</v>
      </c>
      <c r="C23" s="0" t="str">
        <f aca="false">"41-52"</f>
        <v>41-52</v>
      </c>
      <c r="D23" s="0" t="s">
        <v>13</v>
      </c>
      <c r="E23" s="0" t="str">
        <f aca="false">"37-48"</f>
        <v>37-48</v>
      </c>
      <c r="F23" s="0" t="s">
        <v>2434</v>
      </c>
      <c r="G23" s="0" t="s">
        <v>9</v>
      </c>
      <c r="H23" s="0" t="str">
        <f aca="false">"329-340"</f>
        <v>329-340</v>
      </c>
      <c r="I23" s="0" t="s">
        <v>9</v>
      </c>
      <c r="J23" s="0" t="str">
        <f aca="false">"358-369"</f>
        <v>358-369</v>
      </c>
      <c r="K23" s="0" t="str">
        <f aca="false">"0.64"</f>
        <v>0.64</v>
      </c>
      <c r="L23" s="0" t="str">
        <f aca="false">"11.05"</f>
        <v>11.05</v>
      </c>
      <c r="M23" s="0" t="str">
        <f aca="false">"140.2"</f>
        <v>140.2</v>
      </c>
    </row>
    <row r="24" customFormat="false" ht="12.8" hidden="false" customHeight="false" outlineLevel="0" collapsed="false">
      <c r="A24" s="0" t="s">
        <v>2412</v>
      </c>
      <c r="B24" s="0" t="s">
        <v>9</v>
      </c>
      <c r="C24" s="0" t="str">
        <f aca="false">"45-56"</f>
        <v>45-56</v>
      </c>
      <c r="D24" s="0" t="s">
        <v>13</v>
      </c>
      <c r="E24" s="0" t="str">
        <f aca="false">"32-43"</f>
        <v>32-43</v>
      </c>
      <c r="F24" s="0" t="s">
        <v>2435</v>
      </c>
      <c r="G24" s="0" t="s">
        <v>9</v>
      </c>
      <c r="H24" s="0" t="str">
        <f aca="false">"326-337"</f>
        <v>326-337</v>
      </c>
      <c r="I24" s="0" t="s">
        <v>9</v>
      </c>
      <c r="J24" s="0" t="str">
        <f aca="false">"211-222"</f>
        <v>211-222</v>
      </c>
      <c r="K24" s="0" t="str">
        <f aca="false">"1.16"</f>
        <v>1.16</v>
      </c>
      <c r="L24" s="0" t="str">
        <f aca="false">"10.92"</f>
        <v>10.92</v>
      </c>
      <c r="M24" s="0" t="str">
        <f aca="false">"135.7"</f>
        <v>135.7</v>
      </c>
    </row>
    <row r="25" customFormat="false" ht="12.8" hidden="false" customHeight="false" outlineLevel="0" collapsed="false">
      <c r="A25" s="0" t="s">
        <v>2412</v>
      </c>
      <c r="B25" s="0" t="s">
        <v>9</v>
      </c>
      <c r="C25" s="0" t="str">
        <f aca="false">"42-53"</f>
        <v>42-53</v>
      </c>
      <c r="D25" s="0" t="s">
        <v>13</v>
      </c>
      <c r="E25" s="0" t="str">
        <f aca="false">"33-44"</f>
        <v>33-44</v>
      </c>
      <c r="F25" s="0" t="s">
        <v>2436</v>
      </c>
      <c r="G25" s="0" t="s">
        <v>13</v>
      </c>
      <c r="H25" s="0" t="str">
        <f aca="false">"51-62"</f>
        <v>51-62</v>
      </c>
      <c r="I25" s="0" t="s">
        <v>13</v>
      </c>
      <c r="J25" s="0" t="str">
        <f aca="false">"74-85"</f>
        <v>74-85</v>
      </c>
      <c r="K25" s="0" t="str">
        <f aca="false">"1.23"</f>
        <v>1.23</v>
      </c>
      <c r="L25" s="0" t="str">
        <f aca="false">"10.74"</f>
        <v>10.74</v>
      </c>
      <c r="M25" s="0" t="str">
        <f aca="false">"145.5"</f>
        <v>145.5</v>
      </c>
    </row>
    <row r="26" customFormat="false" ht="12.8" hidden="false" customHeight="false" outlineLevel="0" collapsed="false">
      <c r="A26" s="0" t="s">
        <v>2412</v>
      </c>
      <c r="B26" s="0" t="s">
        <v>9</v>
      </c>
      <c r="C26" s="0" t="str">
        <f aca="false">"42-53"</f>
        <v>42-53</v>
      </c>
      <c r="D26" s="0" t="s">
        <v>13</v>
      </c>
      <c r="E26" s="0" t="str">
        <f aca="false">"32-43"</f>
        <v>32-43</v>
      </c>
      <c r="F26" s="0" t="s">
        <v>2437</v>
      </c>
      <c r="G26" s="0" t="s">
        <v>9</v>
      </c>
      <c r="H26" s="0" t="str">
        <f aca="false">"113-124"</f>
        <v>113-124</v>
      </c>
      <c r="I26" s="0" t="s">
        <v>9</v>
      </c>
      <c r="J26" s="0" t="str">
        <f aca="false">"134-145"</f>
        <v>134-145</v>
      </c>
      <c r="K26" s="0" t="str">
        <f aca="false">"0.66"</f>
        <v>0.66</v>
      </c>
      <c r="L26" s="0" t="str">
        <f aca="false">"11.44"</f>
        <v>11.44</v>
      </c>
      <c r="M26" s="0" t="str">
        <f aca="false">"133.0"</f>
        <v>133.0</v>
      </c>
    </row>
    <row r="27" customFormat="false" ht="12.8" hidden="false" customHeight="false" outlineLevel="0" collapsed="false">
      <c r="A27" s="0" t="s">
        <v>2412</v>
      </c>
      <c r="B27" s="0" t="s">
        <v>9</v>
      </c>
      <c r="C27" s="0" t="str">
        <f aca="false">"45-56"</f>
        <v>45-56</v>
      </c>
      <c r="D27" s="0" t="s">
        <v>13</v>
      </c>
      <c r="E27" s="0" t="str">
        <f aca="false">"32-43"</f>
        <v>32-43</v>
      </c>
      <c r="F27" s="0" t="s">
        <v>2438</v>
      </c>
      <c r="G27" s="0" t="s">
        <v>13</v>
      </c>
      <c r="H27" s="0" t="str">
        <f aca="false">"71-82"</f>
        <v>71-82</v>
      </c>
      <c r="I27" s="0" t="s">
        <v>9</v>
      </c>
      <c r="J27" s="0" t="str">
        <f aca="false">"75-86"</f>
        <v>75-86</v>
      </c>
      <c r="K27" s="0" t="str">
        <f aca="false">"1.00"</f>
        <v>1.00</v>
      </c>
      <c r="L27" s="0" t="str">
        <f aca="false">"10.79"</f>
        <v>10.79</v>
      </c>
      <c r="M27" s="0" t="str">
        <f aca="false">"145.2"</f>
        <v>145.2</v>
      </c>
    </row>
    <row r="28" customFormat="false" ht="12.8" hidden="false" customHeight="false" outlineLevel="0" collapsed="false">
      <c r="A28" s="0" t="s">
        <v>2412</v>
      </c>
      <c r="B28" s="0" t="s">
        <v>9</v>
      </c>
      <c r="C28" s="0" t="str">
        <f aca="false">"45-56"</f>
        <v>45-56</v>
      </c>
      <c r="D28" s="0" t="s">
        <v>13</v>
      </c>
      <c r="E28" s="0" t="str">
        <f aca="false">"34-45"</f>
        <v>34-45</v>
      </c>
      <c r="F28" s="0" t="s">
        <v>2439</v>
      </c>
      <c r="G28" s="0" t="s">
        <v>9</v>
      </c>
      <c r="H28" s="0" t="str">
        <f aca="false">"489-500"</f>
        <v>489-500</v>
      </c>
      <c r="I28" s="0" t="s">
        <v>9</v>
      </c>
      <c r="J28" s="0" t="str">
        <f aca="false">"544-555"</f>
        <v>544-555</v>
      </c>
      <c r="K28" s="0" t="str">
        <f aca="false">"1.16"</f>
        <v>1.16</v>
      </c>
      <c r="L28" s="0" t="str">
        <f aca="false">"10.86"</f>
        <v>10.86</v>
      </c>
      <c r="M28" s="0" t="str">
        <f aca="false">"118.7"</f>
        <v>118.7</v>
      </c>
    </row>
    <row r="29" customFormat="false" ht="12.8" hidden="false" customHeight="false" outlineLevel="0" collapsed="false">
      <c r="A29" s="0" t="s">
        <v>2412</v>
      </c>
      <c r="B29" s="0" t="s">
        <v>9</v>
      </c>
      <c r="C29" s="0" t="str">
        <f aca="false">"46-57"</f>
        <v>46-57</v>
      </c>
      <c r="D29" s="0" t="s">
        <v>13</v>
      </c>
      <c r="E29" s="0" t="str">
        <f aca="false">"29-40"</f>
        <v>29-40</v>
      </c>
      <c r="F29" s="0" t="s">
        <v>2440</v>
      </c>
      <c r="G29" s="0" t="s">
        <v>24</v>
      </c>
      <c r="H29" s="0" t="str">
        <f aca="false">"367-378"</f>
        <v>367-378</v>
      </c>
      <c r="I29" s="0" t="s">
        <v>24</v>
      </c>
      <c r="J29" s="0" t="str">
        <f aca="false">"339-350"</f>
        <v>339-350</v>
      </c>
      <c r="K29" s="0" t="str">
        <f aca="false">"0.88"</f>
        <v>0.88</v>
      </c>
      <c r="L29" s="0" t="str">
        <f aca="false">"10.87"</f>
        <v>10.87</v>
      </c>
      <c r="M29" s="0" t="str">
        <f aca="false">"121.3"</f>
        <v>121.3</v>
      </c>
    </row>
    <row r="30" customFormat="false" ht="12.8" hidden="false" customHeight="false" outlineLevel="0" collapsed="false">
      <c r="A30" s="0" t="s">
        <v>2412</v>
      </c>
      <c r="B30" s="0" t="s">
        <v>9</v>
      </c>
      <c r="C30" s="0" t="str">
        <f aca="false">"46-57"</f>
        <v>46-57</v>
      </c>
      <c r="D30" s="0" t="s">
        <v>13</v>
      </c>
      <c r="E30" s="0" t="str">
        <f aca="false">"32-43"</f>
        <v>32-43</v>
      </c>
      <c r="F30" s="0" t="s">
        <v>2441</v>
      </c>
      <c r="G30" s="0" t="s">
        <v>9</v>
      </c>
      <c r="H30" s="0" t="str">
        <f aca="false">"103-114"</f>
        <v>103-114</v>
      </c>
      <c r="I30" s="0" t="s">
        <v>9</v>
      </c>
      <c r="J30" s="0" t="str">
        <f aca="false">"44-55"</f>
        <v>44-55</v>
      </c>
      <c r="K30" s="0" t="str">
        <f aca="false">"1.13"</f>
        <v>1.13</v>
      </c>
      <c r="L30" s="0" t="str">
        <f aca="false">"10.94"</f>
        <v>10.94</v>
      </c>
      <c r="M30" s="0" t="str">
        <f aca="false">"133.2"</f>
        <v>133.2</v>
      </c>
    </row>
    <row r="31" customFormat="false" ht="12.8" hidden="false" customHeight="false" outlineLevel="0" collapsed="false">
      <c r="A31" s="0" t="s">
        <v>2412</v>
      </c>
      <c r="B31" s="0" t="s">
        <v>9</v>
      </c>
      <c r="C31" s="0" t="str">
        <f aca="false">"46-57"</f>
        <v>46-57</v>
      </c>
      <c r="D31" s="0" t="s">
        <v>13</v>
      </c>
      <c r="E31" s="0" t="str">
        <f aca="false">"29-40"</f>
        <v>29-40</v>
      </c>
      <c r="F31" s="0" t="s">
        <v>2442</v>
      </c>
      <c r="G31" s="0" t="s">
        <v>9</v>
      </c>
      <c r="H31" s="0" t="str">
        <f aca="false">"80-91"</f>
        <v>80-91</v>
      </c>
      <c r="I31" s="0" t="s">
        <v>9</v>
      </c>
      <c r="J31" s="0" t="str">
        <f aca="false">"60-71"</f>
        <v>60-71</v>
      </c>
      <c r="K31" s="0" t="str">
        <f aca="false">"1.21"</f>
        <v>1.21</v>
      </c>
      <c r="L31" s="0" t="str">
        <f aca="false">"9.97"</f>
        <v>9.97</v>
      </c>
      <c r="M31" s="0" t="str">
        <f aca="false">"124.4"</f>
        <v>124.4</v>
      </c>
    </row>
    <row r="32" customFormat="false" ht="12.8" hidden="false" customHeight="false" outlineLevel="0" collapsed="false">
      <c r="A32" s="0" t="s">
        <v>2412</v>
      </c>
      <c r="B32" s="0" t="s">
        <v>9</v>
      </c>
      <c r="C32" s="0" t="str">
        <f aca="false">"39-50"</f>
        <v>39-50</v>
      </c>
      <c r="D32" s="0" t="s">
        <v>13</v>
      </c>
      <c r="E32" s="0" t="str">
        <f aca="false">"35-46"</f>
        <v>35-46</v>
      </c>
      <c r="F32" s="0" t="s">
        <v>2443</v>
      </c>
      <c r="G32" s="0" t="s">
        <v>13</v>
      </c>
      <c r="H32" s="0" t="str">
        <f aca="false">"53-64"</f>
        <v>53-64</v>
      </c>
      <c r="I32" s="0" t="s">
        <v>9</v>
      </c>
      <c r="J32" s="0" t="str">
        <f aca="false">"38-49"</f>
        <v>38-49</v>
      </c>
      <c r="K32" s="0" t="str">
        <f aca="false">"1.11"</f>
        <v>1.11</v>
      </c>
      <c r="L32" s="0" t="str">
        <f aca="false">"10.85"</f>
        <v>10.85</v>
      </c>
      <c r="M32" s="0" t="str">
        <f aca="false">"149.8"</f>
        <v>149.8</v>
      </c>
    </row>
    <row r="33" customFormat="false" ht="12.8" hidden="false" customHeight="false" outlineLevel="0" collapsed="false">
      <c r="A33" s="0" t="s">
        <v>2412</v>
      </c>
      <c r="B33" s="0" t="s">
        <v>9</v>
      </c>
      <c r="C33" s="0" t="str">
        <f aca="false">"45-56"</f>
        <v>45-56</v>
      </c>
      <c r="D33" s="0" t="s">
        <v>13</v>
      </c>
      <c r="E33" s="0" t="str">
        <f aca="false">"31-42"</f>
        <v>31-42</v>
      </c>
      <c r="F33" s="0" t="s">
        <v>2444</v>
      </c>
      <c r="G33" s="0" t="s">
        <v>120</v>
      </c>
      <c r="H33" s="0" t="str">
        <f aca="false">"266-277"</f>
        <v>266-277</v>
      </c>
      <c r="I33" s="0" t="s">
        <v>120</v>
      </c>
      <c r="J33" s="0" t="str">
        <f aca="false">"244-255"</f>
        <v>244-255</v>
      </c>
      <c r="K33" s="0" t="str">
        <f aca="false">"0.94"</f>
        <v>0.94</v>
      </c>
      <c r="L33" s="0" t="str">
        <f aca="false">"9.05"</f>
        <v>9.05</v>
      </c>
      <c r="M33" s="0" t="str">
        <f aca="false">"140.8"</f>
        <v>140.8</v>
      </c>
    </row>
    <row r="34" customFormat="false" ht="12.8" hidden="false" customHeight="false" outlineLevel="0" collapsed="false">
      <c r="A34" s="0" t="s">
        <v>2412</v>
      </c>
      <c r="B34" s="0" t="s">
        <v>9</v>
      </c>
      <c r="C34" s="0" t="str">
        <f aca="false">"46-57"</f>
        <v>46-57</v>
      </c>
      <c r="D34" s="0" t="s">
        <v>13</v>
      </c>
      <c r="E34" s="0" t="str">
        <f aca="false">"28-39"</f>
        <v>28-39</v>
      </c>
      <c r="F34" s="0" t="s">
        <v>2445</v>
      </c>
      <c r="G34" s="0" t="s">
        <v>9</v>
      </c>
      <c r="H34" s="0" t="str">
        <f aca="false">"226-237"</f>
        <v>226-237</v>
      </c>
      <c r="I34" s="0" t="s">
        <v>9</v>
      </c>
      <c r="J34" s="0" t="str">
        <f aca="false">"211-222"</f>
        <v>211-222</v>
      </c>
      <c r="K34" s="0" t="str">
        <f aca="false">"1.17"</f>
        <v>1.17</v>
      </c>
      <c r="L34" s="0" t="str">
        <f aca="false">"9.81"</f>
        <v>9.81</v>
      </c>
      <c r="M34" s="0" t="str">
        <f aca="false">"142.9"</f>
        <v>142.9</v>
      </c>
    </row>
    <row r="35" customFormat="false" ht="12.8" hidden="false" customHeight="false" outlineLevel="0" collapsed="false">
      <c r="A35" s="0" t="s">
        <v>2412</v>
      </c>
      <c r="B35" s="0" t="s">
        <v>9</v>
      </c>
      <c r="C35" s="0" t="str">
        <f aca="false">"39-50"</f>
        <v>39-50</v>
      </c>
      <c r="D35" s="0" t="s">
        <v>13</v>
      </c>
      <c r="E35" s="0" t="str">
        <f aca="false">"36-47"</f>
        <v>36-47</v>
      </c>
      <c r="F35" s="0" t="s">
        <v>2446</v>
      </c>
      <c r="G35" s="0" t="s">
        <v>9</v>
      </c>
      <c r="H35" s="0" t="str">
        <f aca="false">"37-48"</f>
        <v>37-48</v>
      </c>
      <c r="I35" s="0" t="s">
        <v>9</v>
      </c>
      <c r="J35" s="0" t="str">
        <f aca="false">"7-18"</f>
        <v>7-18</v>
      </c>
      <c r="K35" s="0" t="str">
        <f aca="false">"0.98"</f>
        <v>0.98</v>
      </c>
      <c r="L35" s="0" t="str">
        <f aca="false">"11.49"</f>
        <v>11.49</v>
      </c>
      <c r="M35" s="0" t="str">
        <f aca="false">"138.2"</f>
        <v>138.2</v>
      </c>
    </row>
    <row r="36" customFormat="false" ht="12.8" hidden="false" customHeight="false" outlineLevel="0" collapsed="false">
      <c r="A36" s="0" t="s">
        <v>2412</v>
      </c>
      <c r="B36" s="0" t="s">
        <v>9</v>
      </c>
      <c r="C36" s="0" t="str">
        <f aca="false">"46-57"</f>
        <v>46-57</v>
      </c>
      <c r="D36" s="0" t="s">
        <v>13</v>
      </c>
      <c r="E36" s="0" t="str">
        <f aca="false">"28-39"</f>
        <v>28-39</v>
      </c>
      <c r="F36" s="0" t="s">
        <v>2447</v>
      </c>
      <c r="G36" s="0" t="s">
        <v>9</v>
      </c>
      <c r="H36" s="0" t="str">
        <f aca="false">"48-59"</f>
        <v>48-59</v>
      </c>
      <c r="I36" s="0" t="s">
        <v>9</v>
      </c>
      <c r="J36" s="0" t="str">
        <f aca="false">"5-16"</f>
        <v>5-16</v>
      </c>
      <c r="K36" s="0" t="str">
        <f aca="false">"1.10"</f>
        <v>1.10</v>
      </c>
      <c r="L36" s="0" t="str">
        <f aca="false">"10.37"</f>
        <v>10.37</v>
      </c>
      <c r="M36" s="0" t="str">
        <f aca="false">"121.9"</f>
        <v>121.9</v>
      </c>
    </row>
    <row r="37" customFormat="false" ht="12.8" hidden="false" customHeight="false" outlineLevel="0" collapsed="false">
      <c r="A37" s="0" t="s">
        <v>2412</v>
      </c>
      <c r="B37" s="0" t="s">
        <v>9</v>
      </c>
      <c r="C37" s="0" t="str">
        <f aca="false">"49-60"</f>
        <v>49-60</v>
      </c>
      <c r="D37" s="0" t="s">
        <v>13</v>
      </c>
      <c r="E37" s="0" t="str">
        <f aca="false">"29-40"</f>
        <v>29-40</v>
      </c>
      <c r="F37" s="0" t="s">
        <v>2448</v>
      </c>
      <c r="G37" s="0" t="s">
        <v>13</v>
      </c>
      <c r="H37" s="0" t="str">
        <f aca="false">"451-462"</f>
        <v>451-462</v>
      </c>
      <c r="I37" s="0" t="s">
        <v>9</v>
      </c>
      <c r="J37" s="0" t="str">
        <f aca="false">"177-188"</f>
        <v>177-188</v>
      </c>
      <c r="K37" s="0" t="str">
        <f aca="false">"0.77"</f>
        <v>0.77</v>
      </c>
      <c r="L37" s="0" t="str">
        <f aca="false">"10.45"</f>
        <v>10.45</v>
      </c>
      <c r="M37" s="0" t="str">
        <f aca="false">"132.3"</f>
        <v>132.3</v>
      </c>
    </row>
    <row r="38" customFormat="false" ht="12.8" hidden="false" customHeight="false" outlineLevel="0" collapsed="false">
      <c r="A38" s="0" t="s">
        <v>2412</v>
      </c>
      <c r="B38" s="0" t="s">
        <v>9</v>
      </c>
      <c r="C38" s="0" t="str">
        <f aca="false">"49-60"</f>
        <v>49-60</v>
      </c>
      <c r="D38" s="0" t="s">
        <v>13</v>
      </c>
      <c r="E38" s="0" t="str">
        <f aca="false">"30-41"</f>
        <v>30-41</v>
      </c>
      <c r="F38" s="0" t="s">
        <v>2449</v>
      </c>
      <c r="G38" s="0" t="s">
        <v>9</v>
      </c>
      <c r="H38" s="0" t="str">
        <f aca="false">"82-93"</f>
        <v>82-93</v>
      </c>
      <c r="I38" s="0" t="s">
        <v>9</v>
      </c>
      <c r="J38" s="0" t="str">
        <f aca="false">"66-77"</f>
        <v>66-77</v>
      </c>
      <c r="K38" s="0" t="str">
        <f aca="false">"1.24"</f>
        <v>1.24</v>
      </c>
      <c r="L38" s="0" t="str">
        <f aca="false">"10.07"</f>
        <v>10.07</v>
      </c>
      <c r="M38" s="0" t="str">
        <f aca="false">"142.9"</f>
        <v>142.9</v>
      </c>
    </row>
    <row r="39" customFormat="false" ht="12.8" hidden="false" customHeight="false" outlineLevel="0" collapsed="false">
      <c r="A39" s="0" t="s">
        <v>2412</v>
      </c>
      <c r="B39" s="0" t="s">
        <v>9</v>
      </c>
      <c r="C39" s="0" t="str">
        <f aca="false">"49-60"</f>
        <v>49-60</v>
      </c>
      <c r="D39" s="0" t="s">
        <v>13</v>
      </c>
      <c r="E39" s="0" t="str">
        <f aca="false">"28-39"</f>
        <v>28-39</v>
      </c>
      <c r="F39" s="0" t="s">
        <v>2450</v>
      </c>
      <c r="G39" s="0" t="s">
        <v>9</v>
      </c>
      <c r="H39" s="0" t="str">
        <f aca="false">"753-764"</f>
        <v>753-764</v>
      </c>
      <c r="I39" s="0" t="s">
        <v>9</v>
      </c>
      <c r="J39" s="0" t="str">
        <f aca="false">"838-849"</f>
        <v>838-849</v>
      </c>
      <c r="K39" s="0" t="str">
        <f aca="false">"1.04"</f>
        <v>1.04</v>
      </c>
      <c r="L39" s="0" t="str">
        <f aca="false">"9.98"</f>
        <v>9.98</v>
      </c>
      <c r="M39" s="0" t="str">
        <f aca="false">"138.0"</f>
        <v>138.0</v>
      </c>
    </row>
    <row r="40" customFormat="false" ht="12.8" hidden="false" customHeight="false" outlineLevel="0" collapsed="false">
      <c r="A40" s="0" t="s">
        <v>2412</v>
      </c>
      <c r="B40" s="0" t="s">
        <v>9</v>
      </c>
      <c r="C40" s="0" t="str">
        <f aca="false">"46-57"</f>
        <v>46-57</v>
      </c>
      <c r="D40" s="0" t="s">
        <v>13</v>
      </c>
      <c r="E40" s="0" t="str">
        <f aca="false">"28-39"</f>
        <v>28-39</v>
      </c>
      <c r="F40" s="0" t="s">
        <v>2451</v>
      </c>
      <c r="G40" s="0" t="s">
        <v>9</v>
      </c>
      <c r="H40" s="0" t="str">
        <f aca="false">"385-396"</f>
        <v>385-396</v>
      </c>
      <c r="I40" s="0" t="s">
        <v>9</v>
      </c>
      <c r="J40" s="0" t="str">
        <f aca="false">"371-382"</f>
        <v>371-382</v>
      </c>
      <c r="K40" s="0" t="str">
        <f aca="false">"1.21"</f>
        <v>1.21</v>
      </c>
      <c r="L40" s="0" t="str">
        <f aca="false">"11.90"</f>
        <v>11.90</v>
      </c>
      <c r="M40" s="0" t="str">
        <f aca="false">"138.6"</f>
        <v>138.6</v>
      </c>
    </row>
    <row r="41" customFormat="false" ht="12.8" hidden="false" customHeight="false" outlineLevel="0" collapsed="false">
      <c r="A41" s="0" t="s">
        <v>2412</v>
      </c>
      <c r="B41" s="0" t="s">
        <v>9</v>
      </c>
      <c r="C41" s="0" t="str">
        <f aca="false">"41-52"</f>
        <v>41-52</v>
      </c>
      <c r="D41" s="0" t="s">
        <v>13</v>
      </c>
      <c r="E41" s="0" t="str">
        <f aca="false">"36-47"</f>
        <v>36-47</v>
      </c>
      <c r="F41" s="0" t="s">
        <v>2452</v>
      </c>
      <c r="G41" s="0" t="s">
        <v>9</v>
      </c>
      <c r="H41" s="0" t="str">
        <f aca="false">"188-199"</f>
        <v>188-199</v>
      </c>
      <c r="I41" s="0" t="s">
        <v>9</v>
      </c>
      <c r="J41" s="0" t="str">
        <f aca="false">"213-224"</f>
        <v>213-224</v>
      </c>
      <c r="K41" s="0" t="str">
        <f aca="false">"0.85"</f>
        <v>0.85</v>
      </c>
      <c r="L41" s="0" t="str">
        <f aca="false">"11.58"</f>
        <v>11.58</v>
      </c>
      <c r="M41" s="0" t="str">
        <f aca="false">"146.3"</f>
        <v>146.3</v>
      </c>
    </row>
    <row r="42" customFormat="false" ht="12.8" hidden="false" customHeight="false" outlineLevel="0" collapsed="false">
      <c r="A42" s="0" t="s">
        <v>2412</v>
      </c>
      <c r="B42" s="0" t="s">
        <v>9</v>
      </c>
      <c r="C42" s="0" t="str">
        <f aca="false">"45-56"</f>
        <v>45-56</v>
      </c>
      <c r="D42" s="0" t="s">
        <v>13</v>
      </c>
      <c r="E42" s="0" t="str">
        <f aca="false">"29-40"</f>
        <v>29-40</v>
      </c>
      <c r="F42" s="0" t="s">
        <v>2453</v>
      </c>
      <c r="G42" s="0" t="s">
        <v>9</v>
      </c>
      <c r="H42" s="0" t="str">
        <f aca="false">"149-160"</f>
        <v>149-160</v>
      </c>
      <c r="I42" s="0" t="s">
        <v>9</v>
      </c>
      <c r="J42" s="0" t="str">
        <f aca="false">"355-366"</f>
        <v>355-366</v>
      </c>
      <c r="K42" s="0" t="str">
        <f aca="false">"1.18"</f>
        <v>1.18</v>
      </c>
      <c r="L42" s="0" t="str">
        <f aca="false">"11.51"</f>
        <v>11.51</v>
      </c>
      <c r="M42" s="0" t="str">
        <f aca="false">"135.8"</f>
        <v>135.8</v>
      </c>
    </row>
    <row r="43" customFormat="false" ht="12.8" hidden="false" customHeight="false" outlineLevel="0" collapsed="false">
      <c r="A43" s="0" t="s">
        <v>2412</v>
      </c>
      <c r="B43" s="0" t="s">
        <v>9</v>
      </c>
      <c r="C43" s="0" t="str">
        <f aca="false">"49-60"</f>
        <v>49-60</v>
      </c>
      <c r="D43" s="0" t="s">
        <v>13</v>
      </c>
      <c r="E43" s="0" t="str">
        <f aca="false">"29-40"</f>
        <v>29-40</v>
      </c>
      <c r="F43" s="0" t="s">
        <v>2454</v>
      </c>
      <c r="G43" s="0" t="s">
        <v>9</v>
      </c>
      <c r="H43" s="0" t="str">
        <f aca="false">"206-217"</f>
        <v>206-217</v>
      </c>
      <c r="I43" s="0" t="s">
        <v>9</v>
      </c>
      <c r="J43" s="0" t="str">
        <f aca="false">"358-369"</f>
        <v>358-369</v>
      </c>
      <c r="K43" s="0" t="str">
        <f aca="false">"0.95"</f>
        <v>0.95</v>
      </c>
      <c r="L43" s="0" t="str">
        <f aca="false">"12.06"</f>
        <v>12.06</v>
      </c>
      <c r="M43" s="0" t="str">
        <f aca="false">"140.8"</f>
        <v>140.8</v>
      </c>
    </row>
    <row r="44" customFormat="false" ht="12.8" hidden="false" customHeight="false" outlineLevel="0" collapsed="false">
      <c r="A44" s="0" t="s">
        <v>2412</v>
      </c>
      <c r="B44" s="0" t="s">
        <v>9</v>
      </c>
      <c r="C44" s="0" t="str">
        <f aca="false">"48-59"</f>
        <v>48-59</v>
      </c>
      <c r="D44" s="0" t="s">
        <v>13</v>
      </c>
      <c r="E44" s="0" t="str">
        <f aca="false">"28-39"</f>
        <v>28-39</v>
      </c>
      <c r="F44" s="0" t="s">
        <v>2455</v>
      </c>
      <c r="G44" s="0" t="s">
        <v>13</v>
      </c>
      <c r="H44" s="0" t="str">
        <f aca="false">"212-223"</f>
        <v>212-223</v>
      </c>
      <c r="I44" s="0" t="s">
        <v>9</v>
      </c>
      <c r="J44" s="0" t="str">
        <f aca="false">"212-223"</f>
        <v>212-223</v>
      </c>
      <c r="K44" s="0" t="str">
        <f aca="false">"1.23"</f>
        <v>1.23</v>
      </c>
      <c r="L44" s="0" t="str">
        <f aca="false">"11.40"</f>
        <v>11.40</v>
      </c>
      <c r="M44" s="0" t="str">
        <f aca="false">"132.1"</f>
        <v>132.1</v>
      </c>
    </row>
    <row r="45" customFormat="false" ht="12.8" hidden="false" customHeight="false" outlineLevel="0" collapsed="false">
      <c r="A45" s="0" t="s">
        <v>2412</v>
      </c>
      <c r="B45" s="0" t="s">
        <v>9</v>
      </c>
      <c r="C45" s="0" t="str">
        <f aca="false">"41-52"</f>
        <v>41-52</v>
      </c>
      <c r="D45" s="0" t="s">
        <v>13</v>
      </c>
      <c r="E45" s="0" t="str">
        <f aca="false">"36-47"</f>
        <v>36-47</v>
      </c>
      <c r="F45" s="0" t="s">
        <v>2456</v>
      </c>
      <c r="G45" s="0" t="s">
        <v>70</v>
      </c>
      <c r="H45" s="0" t="str">
        <f aca="false">"228-239"</f>
        <v>228-239</v>
      </c>
      <c r="I45" s="0" t="s">
        <v>24</v>
      </c>
      <c r="J45" s="0" t="str">
        <f aca="false">"370-381"</f>
        <v>370-381</v>
      </c>
      <c r="K45" s="0" t="str">
        <f aca="false">"1.13"</f>
        <v>1.13</v>
      </c>
      <c r="L45" s="0" t="str">
        <f aca="false">"12.02"</f>
        <v>12.02</v>
      </c>
      <c r="M45" s="0" t="str">
        <f aca="false">"137.5"</f>
        <v>137.5</v>
      </c>
    </row>
    <row r="46" customFormat="false" ht="12.8" hidden="false" customHeight="false" outlineLevel="0" collapsed="false">
      <c r="A46" s="0" t="s">
        <v>2412</v>
      </c>
      <c r="B46" s="0" t="s">
        <v>9</v>
      </c>
      <c r="C46" s="0" t="str">
        <f aca="false">"42-53"</f>
        <v>42-53</v>
      </c>
      <c r="D46" s="0" t="s">
        <v>13</v>
      </c>
      <c r="E46" s="0" t="str">
        <f aca="false">"29-40"</f>
        <v>29-40</v>
      </c>
      <c r="F46" s="0" t="s">
        <v>2457</v>
      </c>
      <c r="G46" s="0" t="s">
        <v>9</v>
      </c>
      <c r="H46" s="0" t="str">
        <f aca="false">"712-723"</f>
        <v>712-723</v>
      </c>
      <c r="I46" s="0" t="s">
        <v>9</v>
      </c>
      <c r="J46" s="0" t="str">
        <f aca="false">"146-157"</f>
        <v>146-157</v>
      </c>
      <c r="K46" s="0" t="str">
        <f aca="false">"1.07"</f>
        <v>1.07</v>
      </c>
      <c r="L46" s="0" t="str">
        <f aca="false">"12.99"</f>
        <v>12.99</v>
      </c>
      <c r="M46" s="0" t="str">
        <f aca="false">"126.7"</f>
        <v>126.7</v>
      </c>
    </row>
    <row r="47" customFormat="false" ht="12.8" hidden="false" customHeight="false" outlineLevel="0" collapsed="false">
      <c r="A47" s="0" t="s">
        <v>2412</v>
      </c>
      <c r="B47" s="0" t="s">
        <v>9</v>
      </c>
      <c r="C47" s="0" t="str">
        <f aca="false">"42-53"</f>
        <v>42-53</v>
      </c>
      <c r="D47" s="0" t="s">
        <v>13</v>
      </c>
      <c r="E47" s="0" t="str">
        <f aca="false">"29-40"</f>
        <v>29-40</v>
      </c>
      <c r="F47" s="0" t="s">
        <v>2458</v>
      </c>
      <c r="G47" s="0" t="s">
        <v>9</v>
      </c>
      <c r="H47" s="0" t="str">
        <f aca="false">"104-115"</f>
        <v>104-115</v>
      </c>
      <c r="I47" s="0" t="s">
        <v>9</v>
      </c>
      <c r="J47" s="0" t="str">
        <f aca="false">"44-55"</f>
        <v>44-55</v>
      </c>
      <c r="K47" s="0" t="str">
        <f aca="false">"0.91"</f>
        <v>0.91</v>
      </c>
      <c r="L47" s="0" t="str">
        <f aca="false">"12.97"</f>
        <v>12.97</v>
      </c>
      <c r="M47" s="0" t="str">
        <f aca="false">"142.6"</f>
        <v>142.6</v>
      </c>
    </row>
    <row r="48" customFormat="false" ht="12.8" hidden="false" customHeight="false" outlineLevel="0" collapsed="false">
      <c r="A48" s="0" t="s">
        <v>2412</v>
      </c>
      <c r="B48" s="0" t="s">
        <v>9</v>
      </c>
      <c r="C48" s="0" t="str">
        <f aca="false">"39-50"</f>
        <v>39-50</v>
      </c>
      <c r="D48" s="0" t="s">
        <v>13</v>
      </c>
      <c r="E48" s="0" t="str">
        <f aca="false">"34-45"</f>
        <v>34-45</v>
      </c>
      <c r="F48" s="0" t="s">
        <v>2459</v>
      </c>
      <c r="G48" s="0" t="s">
        <v>71</v>
      </c>
      <c r="H48" s="0" t="str">
        <f aca="false">"72-83"</f>
        <v>72-83</v>
      </c>
      <c r="I48" s="0" t="s">
        <v>71</v>
      </c>
      <c r="J48" s="0" t="str">
        <f aca="false">"89-100"</f>
        <v>89-100</v>
      </c>
      <c r="K48" s="0" t="str">
        <f aca="false">"1.06"</f>
        <v>1.06</v>
      </c>
      <c r="L48" s="0" t="str">
        <f aca="false">"11.68"</f>
        <v>11.68</v>
      </c>
      <c r="M48" s="0" t="str">
        <f aca="false">"135.4"</f>
        <v>135.4</v>
      </c>
    </row>
    <row r="49" customFormat="false" ht="12.8" hidden="false" customHeight="false" outlineLevel="0" collapsed="false">
      <c r="A49" s="0" t="s">
        <v>2412</v>
      </c>
      <c r="B49" s="0" t="s">
        <v>9</v>
      </c>
      <c r="C49" s="0" t="str">
        <f aca="false">"44-55"</f>
        <v>44-55</v>
      </c>
      <c r="D49" s="0" t="s">
        <v>13</v>
      </c>
      <c r="E49" s="0" t="str">
        <f aca="false">"29-40"</f>
        <v>29-40</v>
      </c>
      <c r="F49" s="0" t="s">
        <v>2460</v>
      </c>
      <c r="G49" s="0" t="s">
        <v>13</v>
      </c>
      <c r="H49" s="0" t="str">
        <f aca="false">"69-80"</f>
        <v>69-80</v>
      </c>
      <c r="I49" s="0" t="s">
        <v>13</v>
      </c>
      <c r="J49" s="0" t="str">
        <f aca="false">"18-29"</f>
        <v>18-29</v>
      </c>
      <c r="K49" s="0" t="str">
        <f aca="false">"1.12"</f>
        <v>1.12</v>
      </c>
      <c r="L49" s="0" t="str">
        <f aca="false">"10.98"</f>
        <v>10.98</v>
      </c>
      <c r="M49" s="0" t="str">
        <f aca="false">"124.3"</f>
        <v>124.3</v>
      </c>
    </row>
    <row r="50" customFormat="false" ht="12.8" hidden="false" customHeight="false" outlineLevel="0" collapsed="false">
      <c r="A50" s="0" t="s">
        <v>2412</v>
      </c>
      <c r="B50" s="0" t="s">
        <v>9</v>
      </c>
      <c r="C50" s="0" t="str">
        <f aca="false">"41-52"</f>
        <v>41-52</v>
      </c>
      <c r="D50" s="0" t="s">
        <v>13</v>
      </c>
      <c r="E50" s="0" t="str">
        <f aca="false">"36-47"</f>
        <v>36-47</v>
      </c>
      <c r="F50" s="0" t="s">
        <v>2461</v>
      </c>
      <c r="G50" s="0" t="s">
        <v>9</v>
      </c>
      <c r="H50" s="0" t="str">
        <f aca="false">"325-336"</f>
        <v>325-336</v>
      </c>
      <c r="I50" s="0" t="s">
        <v>9</v>
      </c>
      <c r="J50" s="0" t="str">
        <f aca="false">"274-285"</f>
        <v>274-285</v>
      </c>
      <c r="K50" s="0" t="str">
        <f aca="false">"1.03"</f>
        <v>1.03</v>
      </c>
      <c r="L50" s="0" t="str">
        <f aca="false">"10.44"</f>
        <v>10.44</v>
      </c>
      <c r="M50" s="0" t="str">
        <f aca="false">"149.9"</f>
        <v>149.9</v>
      </c>
    </row>
    <row r="51" customFormat="false" ht="12.8" hidden="false" customHeight="false" outlineLevel="0" collapsed="false">
      <c r="A51" s="0" t="s">
        <v>2412</v>
      </c>
      <c r="B51" s="0" t="s">
        <v>9</v>
      </c>
      <c r="C51" s="0" t="str">
        <f aca="false">"44-55"</f>
        <v>44-55</v>
      </c>
      <c r="D51" s="0" t="s">
        <v>13</v>
      </c>
      <c r="E51" s="0" t="str">
        <f aca="false">"34-45"</f>
        <v>34-45</v>
      </c>
      <c r="F51" s="0" t="s">
        <v>2462</v>
      </c>
      <c r="G51" s="0" t="s">
        <v>9</v>
      </c>
      <c r="H51" s="0" t="str">
        <f aca="false">"260-271"</f>
        <v>260-271</v>
      </c>
      <c r="I51" s="0" t="s">
        <v>9</v>
      </c>
      <c r="J51" s="0" t="str">
        <f aca="false">"239-250"</f>
        <v>239-250</v>
      </c>
      <c r="K51" s="0" t="str">
        <f aca="false">"1.23"</f>
        <v>1.23</v>
      </c>
      <c r="L51" s="0" t="str">
        <f aca="false">"8.93"</f>
        <v>8.93</v>
      </c>
      <c r="M51" s="0" t="str">
        <f aca="false">"127.8"</f>
        <v>127.8</v>
      </c>
    </row>
    <row r="52" customFormat="false" ht="12.8" hidden="false" customHeight="false" outlineLevel="0" collapsed="false">
      <c r="A52" s="0" t="s">
        <v>2412</v>
      </c>
      <c r="B52" s="0" t="s">
        <v>9</v>
      </c>
      <c r="C52" s="0" t="str">
        <f aca="false">"45-56"</f>
        <v>45-56</v>
      </c>
      <c r="D52" s="0" t="s">
        <v>13</v>
      </c>
      <c r="E52" s="0" t="str">
        <f aca="false">"34-45"</f>
        <v>34-45</v>
      </c>
      <c r="F52" s="0" t="s">
        <v>2463</v>
      </c>
      <c r="G52" s="0" t="s">
        <v>9</v>
      </c>
      <c r="H52" s="0" t="str">
        <f aca="false">"122-133"</f>
        <v>122-133</v>
      </c>
      <c r="I52" s="0" t="s">
        <v>9</v>
      </c>
      <c r="J52" s="0" t="str">
        <f aca="false">"140-151"</f>
        <v>140-151</v>
      </c>
      <c r="K52" s="0" t="str">
        <f aca="false">"0.60"</f>
        <v>0.60</v>
      </c>
      <c r="L52" s="0" t="str">
        <f aca="false">"10.49"</f>
        <v>10.49</v>
      </c>
      <c r="M52" s="0" t="str">
        <f aca="false">"140.2"</f>
        <v>140.2</v>
      </c>
    </row>
    <row r="53" customFormat="false" ht="12.8" hidden="false" customHeight="false" outlineLevel="0" collapsed="false">
      <c r="A53" s="0" t="s">
        <v>2412</v>
      </c>
      <c r="B53" s="0" t="s">
        <v>9</v>
      </c>
      <c r="C53" s="0" t="str">
        <f aca="false">"42-53"</f>
        <v>42-53</v>
      </c>
      <c r="D53" s="0" t="s">
        <v>13</v>
      </c>
      <c r="E53" s="0" t="str">
        <f aca="false">"36-47"</f>
        <v>36-47</v>
      </c>
      <c r="F53" s="0" t="s">
        <v>2464</v>
      </c>
      <c r="G53" s="0" t="s">
        <v>9</v>
      </c>
      <c r="H53" s="0" t="str">
        <f aca="false">"285-296"</f>
        <v>285-296</v>
      </c>
      <c r="I53" s="0" t="s">
        <v>9</v>
      </c>
      <c r="J53" s="0" t="str">
        <f aca="false">"195-206"</f>
        <v>195-206</v>
      </c>
      <c r="K53" s="0" t="str">
        <f aca="false">"0.55"</f>
        <v>0.55</v>
      </c>
      <c r="L53" s="0" t="str">
        <f aca="false">"11.02"</f>
        <v>11.02</v>
      </c>
      <c r="M53" s="0" t="str">
        <f aca="false">"140.4"</f>
        <v>140.4</v>
      </c>
    </row>
    <row r="54" customFormat="false" ht="12.8" hidden="false" customHeight="false" outlineLevel="0" collapsed="false">
      <c r="A54" s="0" t="s">
        <v>2412</v>
      </c>
      <c r="B54" s="0" t="s">
        <v>9</v>
      </c>
      <c r="C54" s="0" t="str">
        <f aca="false">"48-59"</f>
        <v>48-59</v>
      </c>
      <c r="D54" s="0" t="s">
        <v>13</v>
      </c>
      <c r="E54" s="0" t="str">
        <f aca="false">"29-40"</f>
        <v>29-40</v>
      </c>
      <c r="F54" s="0" t="s">
        <v>2465</v>
      </c>
      <c r="G54" s="0" t="s">
        <v>9</v>
      </c>
      <c r="H54" s="0" t="str">
        <f aca="false">"300-311"</f>
        <v>300-311</v>
      </c>
      <c r="I54" s="0" t="s">
        <v>9</v>
      </c>
      <c r="J54" s="0" t="str">
        <f aca="false">"404-415"</f>
        <v>404-415</v>
      </c>
      <c r="K54" s="0" t="str">
        <f aca="false">"1.17"</f>
        <v>1.17</v>
      </c>
      <c r="L54" s="0" t="str">
        <f aca="false">"11.85"</f>
        <v>11.85</v>
      </c>
      <c r="M54" s="0" t="str">
        <f aca="false">"136.6"</f>
        <v>136.6</v>
      </c>
    </row>
    <row r="55" customFormat="false" ht="12.8" hidden="false" customHeight="false" outlineLevel="0" collapsed="false">
      <c r="A55" s="0" t="s">
        <v>2412</v>
      </c>
      <c r="B55" s="0" t="s">
        <v>9</v>
      </c>
      <c r="C55" s="0" t="str">
        <f aca="false">"39-50"</f>
        <v>39-50</v>
      </c>
      <c r="D55" s="0" t="s">
        <v>13</v>
      </c>
      <c r="E55" s="0" t="str">
        <f aca="false">"36-47"</f>
        <v>36-47</v>
      </c>
      <c r="F55" s="0" t="s">
        <v>2466</v>
      </c>
      <c r="G55" s="0" t="s">
        <v>9</v>
      </c>
      <c r="H55" s="0" t="str">
        <f aca="false">"25-36"</f>
        <v>25-36</v>
      </c>
      <c r="I55" s="0" t="s">
        <v>9</v>
      </c>
      <c r="J55" s="0" t="str">
        <f aca="false">"112-123"</f>
        <v>112-123</v>
      </c>
      <c r="K55" s="0" t="str">
        <f aca="false">"0.98"</f>
        <v>0.98</v>
      </c>
      <c r="L55" s="0" t="str">
        <f aca="false">"12.91"</f>
        <v>12.91</v>
      </c>
      <c r="M55" s="0" t="str">
        <f aca="false">"148.7"</f>
        <v>148.7</v>
      </c>
    </row>
    <row r="56" customFormat="false" ht="12.8" hidden="false" customHeight="false" outlineLevel="0" collapsed="false">
      <c r="A56" s="0" t="s">
        <v>2412</v>
      </c>
      <c r="B56" s="0" t="s">
        <v>9</v>
      </c>
      <c r="C56" s="0" t="str">
        <f aca="false">"49-60"</f>
        <v>49-60</v>
      </c>
      <c r="D56" s="0" t="s">
        <v>13</v>
      </c>
      <c r="E56" s="0" t="str">
        <f aca="false">"27-38"</f>
        <v>27-38</v>
      </c>
      <c r="F56" s="0" t="s">
        <v>2467</v>
      </c>
      <c r="G56" s="0" t="s">
        <v>9</v>
      </c>
      <c r="H56" s="0" t="str">
        <f aca="false">"254-265"</f>
        <v>254-265</v>
      </c>
      <c r="I56" s="0" t="s">
        <v>9</v>
      </c>
      <c r="J56" s="0" t="str">
        <f aca="false">"322-333"</f>
        <v>322-333</v>
      </c>
      <c r="K56" s="0" t="str">
        <f aca="false">"1.13"</f>
        <v>1.13</v>
      </c>
      <c r="L56" s="0" t="str">
        <f aca="false">"10.72"</f>
        <v>10.72</v>
      </c>
      <c r="M56" s="0" t="str">
        <f aca="false">"143.6"</f>
        <v>143.6</v>
      </c>
    </row>
    <row r="57" customFormat="false" ht="12.8" hidden="false" customHeight="false" outlineLevel="0" collapsed="false">
      <c r="A57" s="0" t="s">
        <v>2412</v>
      </c>
      <c r="B57" s="0" t="s">
        <v>9</v>
      </c>
      <c r="C57" s="0" t="str">
        <f aca="false">"39-50"</f>
        <v>39-50</v>
      </c>
      <c r="D57" s="0" t="s">
        <v>13</v>
      </c>
      <c r="E57" s="0" t="str">
        <f aca="false">"36-47"</f>
        <v>36-47</v>
      </c>
      <c r="F57" s="0" t="s">
        <v>2468</v>
      </c>
      <c r="G57" s="0" t="s">
        <v>9</v>
      </c>
      <c r="H57" s="0" t="str">
        <f aca="false">"109-120"</f>
        <v>109-120</v>
      </c>
      <c r="I57" s="0" t="s">
        <v>13</v>
      </c>
      <c r="J57" s="0" t="str">
        <f aca="false">"124-135"</f>
        <v>124-135</v>
      </c>
      <c r="K57" s="0" t="str">
        <f aca="false">"0.98"</f>
        <v>0.98</v>
      </c>
      <c r="L57" s="0" t="str">
        <f aca="false">"11.49"</f>
        <v>11.49</v>
      </c>
      <c r="M57" s="0" t="str">
        <f aca="false">"144.7"</f>
        <v>144.7</v>
      </c>
    </row>
    <row r="58" customFormat="false" ht="12.8" hidden="false" customHeight="false" outlineLevel="0" collapsed="false">
      <c r="A58" s="0" t="s">
        <v>2412</v>
      </c>
      <c r="B58" s="0" t="s">
        <v>9</v>
      </c>
      <c r="C58" s="0" t="str">
        <f aca="false">"45-56"</f>
        <v>45-56</v>
      </c>
      <c r="D58" s="0" t="s">
        <v>13</v>
      </c>
      <c r="E58" s="0" t="str">
        <f aca="false">"30-41"</f>
        <v>30-41</v>
      </c>
      <c r="F58" s="0" t="s">
        <v>2469</v>
      </c>
      <c r="G58" s="0" t="s">
        <v>9</v>
      </c>
      <c r="H58" s="0" t="str">
        <f aca="false">"76-87"</f>
        <v>76-87</v>
      </c>
      <c r="I58" s="0" t="s">
        <v>9</v>
      </c>
      <c r="J58" s="0" t="str">
        <f aca="false">"119-130"</f>
        <v>119-130</v>
      </c>
      <c r="K58" s="0" t="str">
        <f aca="false">"1.14"</f>
        <v>1.14</v>
      </c>
      <c r="L58" s="0" t="str">
        <f aca="false">"10.29"</f>
        <v>10.29</v>
      </c>
      <c r="M58" s="0" t="str">
        <f aca="false">"131.5"</f>
        <v>131.5</v>
      </c>
    </row>
    <row r="59" customFormat="false" ht="12.8" hidden="false" customHeight="false" outlineLevel="0" collapsed="false">
      <c r="A59" s="0" t="s">
        <v>2412</v>
      </c>
      <c r="B59" s="0" t="s">
        <v>9</v>
      </c>
      <c r="C59" s="0" t="str">
        <f aca="false">"40-51"</f>
        <v>40-51</v>
      </c>
      <c r="D59" s="0" t="s">
        <v>13</v>
      </c>
      <c r="E59" s="0" t="str">
        <f aca="false">"37-48"</f>
        <v>37-48</v>
      </c>
      <c r="F59" s="0" t="s">
        <v>2470</v>
      </c>
      <c r="G59" s="0" t="s">
        <v>9</v>
      </c>
      <c r="H59" s="0" t="str">
        <f aca="false">"48-59"</f>
        <v>48-59</v>
      </c>
      <c r="I59" s="0" t="s">
        <v>9</v>
      </c>
      <c r="J59" s="0" t="str">
        <f aca="false">"63-74"</f>
        <v>63-74</v>
      </c>
      <c r="K59" s="0" t="str">
        <f aca="false">"1.08"</f>
        <v>1.08</v>
      </c>
      <c r="L59" s="0" t="str">
        <f aca="false">"11.51"</f>
        <v>11.51</v>
      </c>
      <c r="M59" s="0" t="str">
        <f aca="false">"153.1"</f>
        <v>153.1</v>
      </c>
    </row>
    <row r="60" customFormat="false" ht="12.8" hidden="false" customHeight="false" outlineLevel="0" collapsed="false">
      <c r="A60" s="0" t="s">
        <v>2412</v>
      </c>
      <c r="B60" s="0" t="s">
        <v>9</v>
      </c>
      <c r="C60" s="0" t="str">
        <f aca="false">"40-51"</f>
        <v>40-51</v>
      </c>
      <c r="D60" s="0" t="s">
        <v>13</v>
      </c>
      <c r="E60" s="0" t="str">
        <f aca="false">"37-48"</f>
        <v>37-48</v>
      </c>
      <c r="F60" s="0" t="s">
        <v>2471</v>
      </c>
      <c r="G60" s="0" t="s">
        <v>9</v>
      </c>
      <c r="H60" s="0" t="str">
        <f aca="false">"133-144"</f>
        <v>133-144</v>
      </c>
      <c r="I60" s="0" t="s">
        <v>9</v>
      </c>
      <c r="J60" s="0" t="str">
        <f aca="false">"148-159"</f>
        <v>148-159</v>
      </c>
      <c r="K60" s="0" t="str">
        <f aca="false">"1.13"</f>
        <v>1.13</v>
      </c>
      <c r="L60" s="0" t="str">
        <f aca="false">"12.31"</f>
        <v>12.31</v>
      </c>
      <c r="M60" s="0" t="str">
        <f aca="false">"144.6"</f>
        <v>144.6</v>
      </c>
    </row>
    <row r="61" customFormat="false" ht="12.8" hidden="false" customHeight="false" outlineLevel="0" collapsed="false">
      <c r="A61" s="0" t="s">
        <v>2412</v>
      </c>
      <c r="B61" s="0" t="s">
        <v>9</v>
      </c>
      <c r="C61" s="0" t="str">
        <f aca="false">"40-51"</f>
        <v>40-51</v>
      </c>
      <c r="D61" s="0" t="s">
        <v>13</v>
      </c>
      <c r="E61" s="0" t="str">
        <f aca="false">"37-48"</f>
        <v>37-48</v>
      </c>
      <c r="F61" s="0" t="s">
        <v>2472</v>
      </c>
      <c r="G61" s="0" t="s">
        <v>13</v>
      </c>
      <c r="H61" s="0" t="str">
        <f aca="false">"78-89"</f>
        <v>78-89</v>
      </c>
      <c r="I61" s="0" t="s">
        <v>13</v>
      </c>
      <c r="J61" s="0" t="str">
        <f aca="false">"93-104"</f>
        <v>93-104</v>
      </c>
      <c r="K61" s="0" t="str">
        <f aca="false">"1.06"</f>
        <v>1.06</v>
      </c>
      <c r="L61" s="0" t="str">
        <f aca="false">"12.34"</f>
        <v>12.34</v>
      </c>
      <c r="M61" s="0" t="str">
        <f aca="false">"144.1"</f>
        <v>144.1</v>
      </c>
    </row>
    <row r="62" customFormat="false" ht="12.8" hidden="false" customHeight="false" outlineLevel="0" collapsed="false">
      <c r="A62" s="0" t="s">
        <v>2412</v>
      </c>
      <c r="B62" s="0" t="s">
        <v>9</v>
      </c>
      <c r="C62" s="0" t="str">
        <f aca="false">"41-52"</f>
        <v>41-52</v>
      </c>
      <c r="D62" s="0" t="s">
        <v>13</v>
      </c>
      <c r="E62" s="0" t="str">
        <f aca="false">"36-47"</f>
        <v>36-47</v>
      </c>
      <c r="F62" s="0" t="s">
        <v>2473</v>
      </c>
      <c r="G62" s="0" t="s">
        <v>13</v>
      </c>
      <c r="H62" s="0" t="str">
        <f aca="false">"27-38"</f>
        <v>27-38</v>
      </c>
      <c r="I62" s="0" t="s">
        <v>13</v>
      </c>
      <c r="J62" s="0" t="str">
        <f aca="false">"50-61"</f>
        <v>50-61</v>
      </c>
      <c r="K62" s="0" t="str">
        <f aca="false">"1.17"</f>
        <v>1.17</v>
      </c>
      <c r="L62" s="0" t="str">
        <f aca="false">"12.98"</f>
        <v>12.98</v>
      </c>
      <c r="M62" s="0" t="str">
        <f aca="false">"131.5"</f>
        <v>131.5</v>
      </c>
    </row>
    <row r="63" customFormat="false" ht="12.8" hidden="false" customHeight="false" outlineLevel="0" collapsed="false">
      <c r="A63" s="0" t="s">
        <v>2412</v>
      </c>
      <c r="B63" s="0" t="s">
        <v>9</v>
      </c>
      <c r="C63" s="0" t="str">
        <f aca="false">"45-56"</f>
        <v>45-56</v>
      </c>
      <c r="D63" s="0" t="s">
        <v>13</v>
      </c>
      <c r="E63" s="0" t="str">
        <f aca="false">"28-39"</f>
        <v>28-39</v>
      </c>
      <c r="F63" s="0" t="s">
        <v>2474</v>
      </c>
      <c r="G63" s="0" t="s">
        <v>13</v>
      </c>
      <c r="H63" s="0" t="str">
        <f aca="false">"464-475"</f>
        <v>464-475</v>
      </c>
      <c r="I63" s="0" t="s">
        <v>13</v>
      </c>
      <c r="J63" s="0" t="str">
        <f aca="false">"496-507"</f>
        <v>496-507</v>
      </c>
      <c r="K63" s="0" t="str">
        <f aca="false">"1.22"</f>
        <v>1.22</v>
      </c>
      <c r="L63" s="0" t="str">
        <f aca="false">"11.66"</f>
        <v>11.66</v>
      </c>
      <c r="M63" s="0" t="str">
        <f aca="false">"126.3"</f>
        <v>126.3</v>
      </c>
    </row>
    <row r="64" customFormat="false" ht="12.8" hidden="false" customHeight="false" outlineLevel="0" collapsed="false">
      <c r="A64" s="0" t="s">
        <v>2412</v>
      </c>
      <c r="B64" s="0" t="s">
        <v>9</v>
      </c>
      <c r="C64" s="0" t="str">
        <f aca="false">"42-53"</f>
        <v>42-53</v>
      </c>
      <c r="D64" s="0" t="s">
        <v>13</v>
      </c>
      <c r="E64" s="0" t="str">
        <f aca="false">"29-40"</f>
        <v>29-40</v>
      </c>
      <c r="F64" s="0" t="s">
        <v>2475</v>
      </c>
      <c r="G64" s="0" t="s">
        <v>13</v>
      </c>
      <c r="H64" s="0" t="str">
        <f aca="false">"360-371"</f>
        <v>360-371</v>
      </c>
      <c r="I64" s="0" t="s">
        <v>13</v>
      </c>
      <c r="J64" s="0" t="str">
        <f aca="false">"245-256"</f>
        <v>245-256</v>
      </c>
      <c r="K64" s="0" t="str">
        <f aca="false">"1.25"</f>
        <v>1.25</v>
      </c>
      <c r="L64" s="0" t="str">
        <f aca="false">"13.03"</f>
        <v>13.03</v>
      </c>
      <c r="M64" s="0" t="str">
        <f aca="false">"134.0"</f>
        <v>134.0</v>
      </c>
    </row>
    <row r="65" customFormat="false" ht="12.8" hidden="false" customHeight="false" outlineLevel="0" collapsed="false">
      <c r="A65" s="0" t="s">
        <v>2412</v>
      </c>
      <c r="B65" s="0" t="s">
        <v>9</v>
      </c>
      <c r="C65" s="0" t="str">
        <f aca="false">"45-56"</f>
        <v>45-56</v>
      </c>
      <c r="D65" s="0" t="s">
        <v>13</v>
      </c>
      <c r="E65" s="0" t="str">
        <f aca="false">"34-45"</f>
        <v>34-45</v>
      </c>
      <c r="F65" s="0" t="s">
        <v>2476</v>
      </c>
      <c r="G65" s="0" t="s">
        <v>9</v>
      </c>
      <c r="H65" s="0" t="str">
        <f aca="false">"290-301"</f>
        <v>290-301</v>
      </c>
      <c r="I65" s="0" t="s">
        <v>9</v>
      </c>
      <c r="J65" s="0" t="str">
        <f aca="false">"333-344"</f>
        <v>333-344</v>
      </c>
      <c r="K65" s="0" t="str">
        <f aca="false">"0.91"</f>
        <v>0.91</v>
      </c>
      <c r="L65" s="0" t="str">
        <f aca="false">"10.86"</f>
        <v>10.86</v>
      </c>
      <c r="M65" s="0" t="str">
        <f aca="false">"134.4"</f>
        <v>134.4</v>
      </c>
    </row>
    <row r="66" customFormat="false" ht="12.8" hidden="false" customHeight="false" outlineLevel="0" collapsed="false">
      <c r="A66" s="0" t="s">
        <v>2412</v>
      </c>
      <c r="B66" s="0" t="s">
        <v>9</v>
      </c>
      <c r="C66" s="0" t="str">
        <f aca="false">"44-55"</f>
        <v>44-55</v>
      </c>
      <c r="D66" s="0" t="s">
        <v>13</v>
      </c>
      <c r="E66" s="0" t="str">
        <f aca="false">"27-38"</f>
        <v>27-38</v>
      </c>
      <c r="F66" s="0" t="s">
        <v>2477</v>
      </c>
      <c r="G66" s="0" t="s">
        <v>9</v>
      </c>
      <c r="H66" s="0" t="str">
        <f aca="false">"68-79"</f>
        <v>68-79</v>
      </c>
      <c r="I66" s="0" t="s">
        <v>9</v>
      </c>
      <c r="J66" s="0" t="str">
        <f aca="false">"3-14"</f>
        <v>3-14</v>
      </c>
      <c r="K66" s="0" t="str">
        <f aca="false">"1.12"</f>
        <v>1.12</v>
      </c>
      <c r="L66" s="0" t="str">
        <f aca="false">"14.30"</f>
        <v>14.30</v>
      </c>
      <c r="M66" s="0" t="str">
        <f aca="false">"139.2"</f>
        <v>139.2</v>
      </c>
    </row>
    <row r="67" customFormat="false" ht="12.8" hidden="false" customHeight="false" outlineLevel="0" collapsed="false">
      <c r="A67" s="0" t="s">
        <v>2412</v>
      </c>
      <c r="B67" s="0" t="s">
        <v>9</v>
      </c>
      <c r="C67" s="0" t="str">
        <f aca="false">"40-51"</f>
        <v>40-51</v>
      </c>
      <c r="D67" s="0" t="s">
        <v>13</v>
      </c>
      <c r="E67" s="0" t="str">
        <f aca="false">"37-48"</f>
        <v>37-48</v>
      </c>
      <c r="F67" s="0" t="s">
        <v>2478</v>
      </c>
      <c r="G67" s="0" t="s">
        <v>24</v>
      </c>
      <c r="H67" s="0" t="str">
        <f aca="false">"62-73"</f>
        <v>62-73</v>
      </c>
      <c r="I67" s="0" t="s">
        <v>24</v>
      </c>
      <c r="J67" s="0" t="str">
        <f aca="false">"77-88"</f>
        <v>77-88</v>
      </c>
      <c r="K67" s="0" t="str">
        <f aca="false">"1.15"</f>
        <v>1.15</v>
      </c>
      <c r="L67" s="0" t="str">
        <f aca="false">"12.77"</f>
        <v>12.77</v>
      </c>
      <c r="M67" s="0" t="str">
        <f aca="false">"148.6"</f>
        <v>148.6</v>
      </c>
    </row>
    <row r="68" customFormat="false" ht="12.8" hidden="false" customHeight="false" outlineLevel="0" collapsed="false">
      <c r="A68" s="0" t="s">
        <v>2412</v>
      </c>
      <c r="B68" s="0" t="s">
        <v>9</v>
      </c>
      <c r="C68" s="0" t="str">
        <f aca="false">"45-56"</f>
        <v>45-56</v>
      </c>
      <c r="D68" s="0" t="s">
        <v>13</v>
      </c>
      <c r="E68" s="0" t="str">
        <f aca="false">"34-45"</f>
        <v>34-45</v>
      </c>
      <c r="F68" s="0" t="s">
        <v>2479</v>
      </c>
      <c r="G68" s="0" t="s">
        <v>13</v>
      </c>
      <c r="H68" s="0" t="str">
        <f aca="false">"271-282"</f>
        <v>271-282</v>
      </c>
      <c r="I68" s="0" t="s">
        <v>13</v>
      </c>
      <c r="J68" s="0" t="str">
        <f aca="false">"296-307"</f>
        <v>296-307</v>
      </c>
      <c r="K68" s="0" t="str">
        <f aca="false">"0.96"</f>
        <v>0.96</v>
      </c>
      <c r="L68" s="0" t="str">
        <f aca="false">"11.34"</f>
        <v>11.34</v>
      </c>
      <c r="M68" s="0" t="str">
        <f aca="false">"135.5"</f>
        <v>135.5</v>
      </c>
    </row>
    <row r="69" customFormat="false" ht="12.8" hidden="false" customHeight="false" outlineLevel="0" collapsed="false">
      <c r="A69" s="0" t="s">
        <v>2412</v>
      </c>
      <c r="B69" s="0" t="s">
        <v>9</v>
      </c>
      <c r="C69" s="0" t="str">
        <f aca="false">"42-53"</f>
        <v>42-53</v>
      </c>
      <c r="D69" s="0" t="s">
        <v>13</v>
      </c>
      <c r="E69" s="0" t="str">
        <f aca="false">"36-47"</f>
        <v>36-47</v>
      </c>
      <c r="F69" s="0" t="s">
        <v>2480</v>
      </c>
      <c r="G69" s="0" t="s">
        <v>9</v>
      </c>
      <c r="H69" s="0" t="str">
        <f aca="false">"21-32"</f>
        <v>21-32</v>
      </c>
      <c r="I69" s="0" t="s">
        <v>9</v>
      </c>
      <c r="J69" s="0" t="str">
        <f aca="false">"38-49"</f>
        <v>38-49</v>
      </c>
      <c r="K69" s="0" t="str">
        <f aca="false">"1.17"</f>
        <v>1.17</v>
      </c>
      <c r="L69" s="0" t="str">
        <f aca="false">"10.92"</f>
        <v>10.92</v>
      </c>
      <c r="M69" s="0" t="str">
        <f aca="false">"127.2"</f>
        <v>127.2</v>
      </c>
    </row>
    <row r="70" customFormat="false" ht="12.8" hidden="false" customHeight="false" outlineLevel="0" collapsed="false">
      <c r="A70" s="0" t="s">
        <v>2412</v>
      </c>
      <c r="B70" s="0" t="s">
        <v>9</v>
      </c>
      <c r="C70" s="0" t="str">
        <f aca="false">"49-60"</f>
        <v>49-60</v>
      </c>
      <c r="D70" s="0" t="s">
        <v>13</v>
      </c>
      <c r="E70" s="0" t="str">
        <f aca="false">"29-40"</f>
        <v>29-40</v>
      </c>
      <c r="F70" s="0" t="s">
        <v>2481</v>
      </c>
      <c r="G70" s="0" t="s">
        <v>9</v>
      </c>
      <c r="H70" s="0" t="str">
        <f aca="false">"346-357"</f>
        <v>346-357</v>
      </c>
      <c r="I70" s="0" t="s">
        <v>9</v>
      </c>
      <c r="J70" s="0" t="str">
        <f aca="false">"321-332"</f>
        <v>321-332</v>
      </c>
      <c r="K70" s="0" t="str">
        <f aca="false">"1.06"</f>
        <v>1.06</v>
      </c>
      <c r="L70" s="0" t="str">
        <f aca="false">"9.88"</f>
        <v>9.88</v>
      </c>
      <c r="M70" s="0" t="str">
        <f aca="false">"128.6"</f>
        <v>128.6</v>
      </c>
    </row>
    <row r="71" customFormat="false" ht="12.8" hidden="false" customHeight="false" outlineLevel="0" collapsed="false">
      <c r="A71" s="0" t="s">
        <v>2412</v>
      </c>
      <c r="B71" s="0" t="s">
        <v>9</v>
      </c>
      <c r="C71" s="0" t="str">
        <f aca="false">"45-56"</f>
        <v>45-56</v>
      </c>
      <c r="D71" s="0" t="s">
        <v>13</v>
      </c>
      <c r="E71" s="0" t="str">
        <f aca="false">"28-39"</f>
        <v>28-39</v>
      </c>
      <c r="F71" s="0" t="s">
        <v>2482</v>
      </c>
      <c r="G71" s="0" t="s">
        <v>48</v>
      </c>
      <c r="H71" s="0" t="str">
        <f aca="false">"168-179"</f>
        <v>168-179</v>
      </c>
      <c r="I71" s="0" t="s">
        <v>48</v>
      </c>
      <c r="J71" s="0" t="str">
        <f aca="false">"188-199"</f>
        <v>188-199</v>
      </c>
      <c r="K71" s="0" t="str">
        <f aca="false">"1.24"</f>
        <v>1.24</v>
      </c>
      <c r="L71" s="0" t="str">
        <f aca="false">"11.26"</f>
        <v>11.26</v>
      </c>
      <c r="M71" s="0" t="str">
        <f aca="false">"132.3"</f>
        <v>132.3</v>
      </c>
    </row>
    <row r="72" customFormat="false" ht="12.8" hidden="false" customHeight="false" outlineLevel="0" collapsed="false">
      <c r="A72" s="0" t="s">
        <v>2412</v>
      </c>
      <c r="B72" s="0" t="s">
        <v>9</v>
      </c>
      <c r="C72" s="0" t="str">
        <f aca="false">"48-59"</f>
        <v>48-59</v>
      </c>
      <c r="D72" s="0" t="s">
        <v>13</v>
      </c>
      <c r="E72" s="0" t="str">
        <f aca="false">"28-39"</f>
        <v>28-39</v>
      </c>
      <c r="F72" s="0" t="s">
        <v>2483</v>
      </c>
      <c r="G72" s="0" t="s">
        <v>9</v>
      </c>
      <c r="H72" s="0" t="str">
        <f aca="false">"21-32"</f>
        <v>21-32</v>
      </c>
      <c r="I72" s="0" t="s">
        <v>9</v>
      </c>
      <c r="J72" s="0" t="str">
        <f aca="false">"87-98"</f>
        <v>87-98</v>
      </c>
      <c r="K72" s="0" t="str">
        <f aca="false">"1.17"</f>
        <v>1.17</v>
      </c>
      <c r="L72" s="0" t="str">
        <f aca="false">"10.92"</f>
        <v>10.92</v>
      </c>
      <c r="M72" s="0" t="str">
        <f aca="false">"132.2"</f>
        <v>132.2</v>
      </c>
    </row>
    <row r="73" customFormat="false" ht="12.8" hidden="false" customHeight="false" outlineLevel="0" collapsed="false">
      <c r="A73" s="0" t="s">
        <v>2412</v>
      </c>
      <c r="B73" s="0" t="s">
        <v>9</v>
      </c>
      <c r="C73" s="0" t="str">
        <f aca="false">"45-56"</f>
        <v>45-56</v>
      </c>
      <c r="D73" s="0" t="s">
        <v>13</v>
      </c>
      <c r="E73" s="0" t="str">
        <f aca="false">"36-47"</f>
        <v>36-47</v>
      </c>
      <c r="F73" s="0" t="s">
        <v>2484</v>
      </c>
      <c r="G73" s="0" t="s">
        <v>9</v>
      </c>
      <c r="H73" s="0" t="str">
        <f aca="false">"95-106"</f>
        <v>95-106</v>
      </c>
      <c r="I73" s="0" t="s">
        <v>9</v>
      </c>
      <c r="J73" s="0" t="str">
        <f aca="false">"264-275"</f>
        <v>264-275</v>
      </c>
      <c r="K73" s="0" t="str">
        <f aca="false">"1.23"</f>
        <v>1.23</v>
      </c>
      <c r="L73" s="0" t="str">
        <f aca="false">"12.95"</f>
        <v>12.95</v>
      </c>
      <c r="M73" s="0" t="str">
        <f aca="false">"146.9"</f>
        <v>146.9</v>
      </c>
    </row>
    <row r="74" customFormat="false" ht="12.8" hidden="false" customHeight="false" outlineLevel="0" collapsed="false">
      <c r="A74" s="0" t="s">
        <v>2412</v>
      </c>
      <c r="B74" s="0" t="s">
        <v>9</v>
      </c>
      <c r="C74" s="0" t="str">
        <f aca="false">"47-58"</f>
        <v>47-58</v>
      </c>
      <c r="D74" s="0" t="s">
        <v>13</v>
      </c>
      <c r="E74" s="0" t="str">
        <f aca="false">"36-47"</f>
        <v>36-47</v>
      </c>
      <c r="F74" s="0" t="s">
        <v>2485</v>
      </c>
      <c r="G74" s="0" t="s">
        <v>9</v>
      </c>
      <c r="H74" s="0" t="str">
        <f aca="false">"480-491"</f>
        <v>480-491</v>
      </c>
      <c r="I74" s="0" t="s">
        <v>9</v>
      </c>
      <c r="J74" s="0" t="str">
        <f aca="false">"453-464"</f>
        <v>453-464</v>
      </c>
      <c r="K74" s="0" t="str">
        <f aca="false">"1.17"</f>
        <v>1.17</v>
      </c>
      <c r="L74" s="0" t="str">
        <f aca="false">"13.23"</f>
        <v>13.23</v>
      </c>
      <c r="M74" s="0" t="str">
        <f aca="false">"126.7"</f>
        <v>126.7</v>
      </c>
    </row>
    <row r="75" customFormat="false" ht="12.8" hidden="false" customHeight="false" outlineLevel="0" collapsed="false">
      <c r="A75" s="0" t="s">
        <v>2412</v>
      </c>
      <c r="B75" s="0" t="s">
        <v>9</v>
      </c>
      <c r="C75" s="0" t="str">
        <f aca="false">"48-59"</f>
        <v>48-59</v>
      </c>
      <c r="D75" s="0" t="s">
        <v>13</v>
      </c>
      <c r="E75" s="0" t="str">
        <f aca="false">"33-44"</f>
        <v>33-44</v>
      </c>
      <c r="F75" s="0" t="s">
        <v>2486</v>
      </c>
      <c r="G75" s="0" t="s">
        <v>9</v>
      </c>
      <c r="H75" s="0" t="str">
        <f aca="false">"66-77"</f>
        <v>66-77</v>
      </c>
      <c r="I75" s="0" t="s">
        <v>9</v>
      </c>
      <c r="J75" s="0" t="str">
        <f aca="false">"84-95"</f>
        <v>84-95</v>
      </c>
      <c r="K75" s="0" t="str">
        <f aca="false">"1.24"</f>
        <v>1.24</v>
      </c>
      <c r="L75" s="0" t="str">
        <f aca="false">"11.76"</f>
        <v>11.76</v>
      </c>
      <c r="M75" s="0" t="str">
        <f aca="false">"118.9"</f>
        <v>118.9</v>
      </c>
    </row>
    <row r="76" customFormat="false" ht="12.8" hidden="false" customHeight="false" outlineLevel="0" collapsed="false">
      <c r="A76" s="0" t="s">
        <v>2412</v>
      </c>
      <c r="B76" s="0" t="s">
        <v>9</v>
      </c>
      <c r="C76" s="0" t="str">
        <f aca="false">"43-54"</f>
        <v>43-54</v>
      </c>
      <c r="D76" s="0" t="s">
        <v>13</v>
      </c>
      <c r="E76" s="0" t="str">
        <f aca="false">"36-47"</f>
        <v>36-47</v>
      </c>
      <c r="F76" s="0" t="s">
        <v>2487</v>
      </c>
      <c r="G76" s="0" t="s">
        <v>9</v>
      </c>
      <c r="H76" s="0" t="str">
        <f aca="false">"588-599"</f>
        <v>588-599</v>
      </c>
      <c r="I76" s="0" t="s">
        <v>9</v>
      </c>
      <c r="J76" s="0" t="str">
        <f aca="false">"619-630"</f>
        <v>619-630</v>
      </c>
      <c r="K76" s="0" t="str">
        <f aca="false">"0.83"</f>
        <v>0.83</v>
      </c>
      <c r="L76" s="0" t="str">
        <f aca="false">"11.98"</f>
        <v>11.98</v>
      </c>
      <c r="M76" s="0" t="str">
        <f aca="false">"151.9"</f>
        <v>151.9</v>
      </c>
    </row>
    <row r="77" customFormat="false" ht="12.8" hidden="false" customHeight="false" outlineLevel="0" collapsed="false">
      <c r="A77" s="0" t="s">
        <v>2412</v>
      </c>
      <c r="B77" s="0" t="s">
        <v>9</v>
      </c>
      <c r="C77" s="0" t="str">
        <f aca="false">"47-58"</f>
        <v>47-58</v>
      </c>
      <c r="D77" s="0" t="s">
        <v>13</v>
      </c>
      <c r="E77" s="0" t="str">
        <f aca="false">"29-40"</f>
        <v>29-40</v>
      </c>
      <c r="F77" s="0" t="s">
        <v>2488</v>
      </c>
      <c r="G77" s="0" t="s">
        <v>9</v>
      </c>
      <c r="H77" s="0" t="str">
        <f aca="false">"893-904"</f>
        <v>893-904</v>
      </c>
      <c r="I77" s="0" t="s">
        <v>9</v>
      </c>
      <c r="J77" s="0" t="str">
        <f aca="false">"868-879"</f>
        <v>868-879</v>
      </c>
      <c r="K77" s="0" t="str">
        <f aca="false">"1.18"</f>
        <v>1.18</v>
      </c>
      <c r="L77" s="0" t="str">
        <f aca="false">"9.40"</f>
        <v>9.40</v>
      </c>
      <c r="M77" s="0" t="str">
        <f aca="false">"139.2"</f>
        <v>139.2</v>
      </c>
    </row>
    <row r="78" customFormat="false" ht="12.8" hidden="false" customHeight="false" outlineLevel="0" collapsed="false">
      <c r="A78" s="0" t="s">
        <v>2412</v>
      </c>
      <c r="B78" s="0" t="s">
        <v>9</v>
      </c>
      <c r="C78" s="0" t="str">
        <f aca="false">"41-52"</f>
        <v>41-52</v>
      </c>
      <c r="D78" s="0" t="s">
        <v>13</v>
      </c>
      <c r="E78" s="0" t="str">
        <f aca="false">"35-46"</f>
        <v>35-46</v>
      </c>
      <c r="F78" s="0" t="s">
        <v>2489</v>
      </c>
      <c r="G78" s="0" t="s">
        <v>9</v>
      </c>
      <c r="H78" s="0" t="str">
        <f aca="false">"58-69"</f>
        <v>58-69</v>
      </c>
      <c r="I78" s="0" t="s">
        <v>9</v>
      </c>
      <c r="J78" s="0" t="str">
        <f aca="false">"84-95"</f>
        <v>84-95</v>
      </c>
      <c r="K78" s="0" t="str">
        <f aca="false">"1.14"</f>
        <v>1.14</v>
      </c>
      <c r="L78" s="0" t="str">
        <f aca="false">"12.45"</f>
        <v>12.45</v>
      </c>
      <c r="M78" s="0" t="str">
        <f aca="false">"140.5"</f>
        <v>140.5</v>
      </c>
    </row>
    <row r="79" customFormat="false" ht="12.8" hidden="false" customHeight="false" outlineLevel="0" collapsed="false">
      <c r="A79" s="0" t="s">
        <v>2412</v>
      </c>
      <c r="B79" s="0" t="s">
        <v>9</v>
      </c>
      <c r="C79" s="0" t="str">
        <f aca="false">"40-51"</f>
        <v>40-51</v>
      </c>
      <c r="D79" s="0" t="s">
        <v>13</v>
      </c>
      <c r="E79" s="0" t="str">
        <f aca="false">"27-38"</f>
        <v>27-38</v>
      </c>
      <c r="F79" s="0" t="s">
        <v>2490</v>
      </c>
      <c r="G79" s="0" t="s">
        <v>9</v>
      </c>
      <c r="H79" s="0" t="str">
        <f aca="false">"312-323"</f>
        <v>312-323</v>
      </c>
      <c r="I79" s="0" t="s">
        <v>13</v>
      </c>
      <c r="J79" s="0" t="str">
        <f aca="false">"312-323"</f>
        <v>312-323</v>
      </c>
      <c r="K79" s="0" t="str">
        <f aca="false">"1.08"</f>
        <v>1.08</v>
      </c>
      <c r="L79" s="0" t="str">
        <f aca="false">"15.59"</f>
        <v>15.59</v>
      </c>
      <c r="M79" s="0" t="str">
        <f aca="false">"145.7"</f>
        <v>145.7</v>
      </c>
    </row>
    <row r="80" customFormat="false" ht="12.8" hidden="false" customHeight="false" outlineLevel="0" collapsed="false">
      <c r="A80" s="0" t="s">
        <v>2412</v>
      </c>
      <c r="B80" s="0" t="s">
        <v>9</v>
      </c>
      <c r="C80" s="0" t="str">
        <f aca="false">"41-52"</f>
        <v>41-52</v>
      </c>
      <c r="D80" s="0" t="s">
        <v>13</v>
      </c>
      <c r="E80" s="0" t="str">
        <f aca="false">"29-40"</f>
        <v>29-40</v>
      </c>
      <c r="F80" s="0" t="s">
        <v>2491</v>
      </c>
      <c r="G80" s="0" t="s">
        <v>13</v>
      </c>
      <c r="H80" s="0" t="str">
        <f aca="false">"99-110"</f>
        <v>99-110</v>
      </c>
      <c r="I80" s="0" t="s">
        <v>13</v>
      </c>
      <c r="J80" s="0" t="str">
        <f aca="false">"79-90"</f>
        <v>79-90</v>
      </c>
      <c r="K80" s="0" t="str">
        <f aca="false">"1.12"</f>
        <v>1.12</v>
      </c>
      <c r="L80" s="0" t="str">
        <f aca="false">"13.89"</f>
        <v>13.89</v>
      </c>
      <c r="M80" s="0" t="str">
        <f aca="false">"125.8"</f>
        <v>125.8</v>
      </c>
    </row>
    <row r="81" customFormat="false" ht="12.8" hidden="false" customHeight="false" outlineLevel="0" collapsed="false">
      <c r="A81" s="0" t="s">
        <v>2412</v>
      </c>
      <c r="B81" s="0" t="s">
        <v>9</v>
      </c>
      <c r="C81" s="0" t="str">
        <f aca="false">"40-51"</f>
        <v>40-51</v>
      </c>
      <c r="D81" s="0" t="s">
        <v>13</v>
      </c>
      <c r="E81" s="0" t="str">
        <f aca="false">"36-47"</f>
        <v>36-47</v>
      </c>
      <c r="F81" s="0" t="s">
        <v>2492</v>
      </c>
      <c r="G81" s="0" t="s">
        <v>9</v>
      </c>
      <c r="H81" s="0" t="str">
        <f aca="false">"170-181"</f>
        <v>170-181</v>
      </c>
      <c r="I81" s="0" t="s">
        <v>9</v>
      </c>
      <c r="J81" s="0" t="str">
        <f aca="false">"25-36"</f>
        <v>25-36</v>
      </c>
      <c r="K81" s="0" t="str">
        <f aca="false">"1.13"</f>
        <v>1.13</v>
      </c>
      <c r="L81" s="0" t="str">
        <f aca="false">"11.57"</f>
        <v>11.57</v>
      </c>
      <c r="M81" s="0" t="str">
        <f aca="false">"128.5"</f>
        <v>128.5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5561224489796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5.87755102040816"/>
    <col collapsed="false" hidden="false" max="6" min="6" style="0" width="11.6887755102041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2493</v>
      </c>
      <c r="B2" s="0" t="s">
        <v>24</v>
      </c>
      <c r="C2" s="0" t="str">
        <f aca="false">"259-270"</f>
        <v>259-270</v>
      </c>
      <c r="D2" s="0" t="s">
        <v>70</v>
      </c>
      <c r="E2" s="0" t="str">
        <f aca="false">"86-97"</f>
        <v>86-97</v>
      </c>
      <c r="F2" s="0" t="s">
        <v>2494</v>
      </c>
      <c r="G2" s="0" t="s">
        <v>13</v>
      </c>
      <c r="H2" s="0" t="str">
        <f aca="false">"6-17"</f>
        <v>6-17</v>
      </c>
      <c r="I2" s="0" t="s">
        <v>13</v>
      </c>
      <c r="J2" s="0" t="str">
        <f aca="false">"47-58"</f>
        <v>47-58</v>
      </c>
      <c r="K2" s="0" t="str">
        <f aca="false">"0.82"</f>
        <v>0.82</v>
      </c>
      <c r="L2" s="0" t="str">
        <f aca="false">"9.94"</f>
        <v>9.94</v>
      </c>
      <c r="M2" s="0" t="str">
        <f aca="false">"-51.9"</f>
        <v>-51.9</v>
      </c>
    </row>
    <row r="3" customFormat="false" ht="12.8" hidden="false" customHeight="false" outlineLevel="0" collapsed="false">
      <c r="A3" s="0" t="s">
        <v>2493</v>
      </c>
      <c r="B3" s="0" t="s">
        <v>24</v>
      </c>
      <c r="C3" s="0" t="str">
        <f aca="false">"262-273"</f>
        <v>262-273</v>
      </c>
      <c r="D3" s="0" t="s">
        <v>70</v>
      </c>
      <c r="E3" s="0" t="str">
        <f aca="false">"86-97"</f>
        <v>86-97</v>
      </c>
      <c r="F3" s="0" t="s">
        <v>2495</v>
      </c>
      <c r="G3" s="0" t="s">
        <v>9</v>
      </c>
      <c r="H3" s="0" t="str">
        <f aca="false">"84-95"</f>
        <v>84-95</v>
      </c>
      <c r="I3" s="0" t="s">
        <v>9</v>
      </c>
      <c r="J3" s="0" t="str">
        <f aca="false">"3-14"</f>
        <v>3-14</v>
      </c>
      <c r="K3" s="0" t="str">
        <f aca="false">"0.99"</f>
        <v>0.99</v>
      </c>
      <c r="L3" s="0" t="str">
        <f aca="false">"9.99"</f>
        <v>9.99</v>
      </c>
      <c r="M3" s="0" t="str">
        <f aca="false">"-44.7"</f>
        <v>-44.7</v>
      </c>
    </row>
    <row r="4" customFormat="false" ht="12.8" hidden="false" customHeight="false" outlineLevel="0" collapsed="false">
      <c r="A4" s="0" t="s">
        <v>2493</v>
      </c>
      <c r="B4" s="0" t="s">
        <v>24</v>
      </c>
      <c r="C4" s="0" t="str">
        <f aca="false">"259-270"</f>
        <v>259-270</v>
      </c>
      <c r="D4" s="0" t="s">
        <v>70</v>
      </c>
      <c r="E4" s="0" t="str">
        <f aca="false">"86-97"</f>
        <v>86-97</v>
      </c>
      <c r="F4" s="0" t="s">
        <v>2496</v>
      </c>
      <c r="G4" s="0" t="s">
        <v>9</v>
      </c>
      <c r="H4" s="0" t="str">
        <f aca="false">"1186-1197"</f>
        <v>1186-1197</v>
      </c>
      <c r="I4" s="0" t="s">
        <v>9</v>
      </c>
      <c r="J4" s="0" t="str">
        <f aca="false">"1231-1242"</f>
        <v>1231-1242</v>
      </c>
      <c r="K4" s="0" t="str">
        <f aca="false">"1.13"</f>
        <v>1.13</v>
      </c>
      <c r="L4" s="0" t="str">
        <f aca="false">"10.32"</f>
        <v>10.32</v>
      </c>
      <c r="M4" s="0" t="str">
        <f aca="false">"-50.1"</f>
        <v>-50.1</v>
      </c>
    </row>
    <row r="5" customFormat="false" ht="12.8" hidden="false" customHeight="false" outlineLevel="0" collapsed="false">
      <c r="A5" s="0" t="s">
        <v>2493</v>
      </c>
      <c r="B5" s="0" t="s">
        <v>24</v>
      </c>
      <c r="C5" s="0" t="str">
        <f aca="false">"259-270"</f>
        <v>259-270</v>
      </c>
      <c r="D5" s="0" t="s">
        <v>70</v>
      </c>
      <c r="E5" s="0" t="str">
        <f aca="false">"86-97"</f>
        <v>86-97</v>
      </c>
      <c r="F5" s="0" t="s">
        <v>1556</v>
      </c>
      <c r="G5" s="0" t="s">
        <v>9</v>
      </c>
      <c r="H5" s="0" t="str">
        <f aca="false">"3-14"</f>
        <v>3-14</v>
      </c>
      <c r="I5" s="0" t="s">
        <v>9</v>
      </c>
      <c r="J5" s="0" t="str">
        <f aca="false">"135-146"</f>
        <v>135-146</v>
      </c>
      <c r="K5" s="0" t="str">
        <f aca="false">"1.19"</f>
        <v>1.19</v>
      </c>
      <c r="L5" s="0" t="str">
        <f aca="false">"10.75"</f>
        <v>10.75</v>
      </c>
      <c r="M5" s="0" t="str">
        <f aca="false">"-50.5"</f>
        <v>-50.5</v>
      </c>
    </row>
    <row r="6" customFormat="false" ht="12.8" hidden="false" customHeight="false" outlineLevel="0" collapsed="false">
      <c r="A6" s="0" t="s">
        <v>2493</v>
      </c>
      <c r="B6" s="0" t="s">
        <v>24</v>
      </c>
      <c r="C6" s="0" t="str">
        <f aca="false">"262-273"</f>
        <v>262-273</v>
      </c>
      <c r="D6" s="0" t="s">
        <v>70</v>
      </c>
      <c r="E6" s="0" t="str">
        <f aca="false">"86-97"</f>
        <v>86-97</v>
      </c>
      <c r="F6" s="0" t="s">
        <v>2497</v>
      </c>
      <c r="G6" s="0" t="s">
        <v>9</v>
      </c>
      <c r="H6" s="0" t="str">
        <f aca="false">"234-245"</f>
        <v>234-245</v>
      </c>
      <c r="I6" s="0" t="s">
        <v>9</v>
      </c>
      <c r="J6" s="0" t="str">
        <f aca="false">"347-358"</f>
        <v>347-358</v>
      </c>
      <c r="K6" s="0" t="str">
        <f aca="false">"1.10"</f>
        <v>1.10</v>
      </c>
      <c r="L6" s="0" t="str">
        <f aca="false">"10.00"</f>
        <v>10.00</v>
      </c>
      <c r="M6" s="0" t="str">
        <f aca="false">"-39.3"</f>
        <v>-39.3</v>
      </c>
    </row>
    <row r="7" customFormat="false" ht="12.8" hidden="false" customHeight="false" outlineLevel="0" collapsed="false">
      <c r="A7" s="0" t="s">
        <v>2493</v>
      </c>
      <c r="B7" s="0" t="s">
        <v>24</v>
      </c>
      <c r="C7" s="0" t="str">
        <f aca="false">"262-273"</f>
        <v>262-273</v>
      </c>
      <c r="D7" s="0" t="s">
        <v>70</v>
      </c>
      <c r="E7" s="0" t="str">
        <f aca="false">"86-97"</f>
        <v>86-97</v>
      </c>
      <c r="F7" s="0" t="s">
        <v>2498</v>
      </c>
      <c r="G7" s="0" t="s">
        <v>9</v>
      </c>
      <c r="H7" s="0" t="str">
        <f aca="false">"242-253"</f>
        <v>242-253</v>
      </c>
      <c r="I7" s="0" t="s">
        <v>9</v>
      </c>
      <c r="J7" s="0" t="str">
        <f aca="false">"355-366"</f>
        <v>355-366</v>
      </c>
      <c r="K7" s="0" t="str">
        <f aca="false">"1.10"</f>
        <v>1.10</v>
      </c>
      <c r="L7" s="0" t="str">
        <f aca="false">"10.24"</f>
        <v>10.24</v>
      </c>
      <c r="M7" s="0" t="str">
        <f aca="false">"-38.7"</f>
        <v>-38.7</v>
      </c>
    </row>
    <row r="8" customFormat="false" ht="12.8" hidden="false" customHeight="false" outlineLevel="0" collapsed="false">
      <c r="A8" s="0" t="s">
        <v>2493</v>
      </c>
      <c r="B8" s="0" t="s">
        <v>24</v>
      </c>
      <c r="C8" s="0" t="str">
        <f aca="false">"262-273"</f>
        <v>262-273</v>
      </c>
      <c r="D8" s="0" t="s">
        <v>70</v>
      </c>
      <c r="E8" s="0" t="str">
        <f aca="false">"85-96"</f>
        <v>85-96</v>
      </c>
      <c r="F8" s="0" t="s">
        <v>2499</v>
      </c>
      <c r="G8" s="0" t="s">
        <v>9</v>
      </c>
      <c r="H8" s="0" t="str">
        <f aca="false">"142-153"</f>
        <v>142-153</v>
      </c>
      <c r="I8" s="0" t="s">
        <v>9</v>
      </c>
      <c r="J8" s="0" t="str">
        <f aca="false">"10-21"</f>
        <v>10-21</v>
      </c>
      <c r="K8" s="0" t="str">
        <f aca="false">"0.98"</f>
        <v>0.98</v>
      </c>
      <c r="L8" s="0" t="str">
        <f aca="false">"9.62"</f>
        <v>9.62</v>
      </c>
      <c r="M8" s="0" t="str">
        <f aca="false">"-51.1"</f>
        <v>-51.1</v>
      </c>
    </row>
    <row r="9" customFormat="false" ht="12.8" hidden="false" customHeight="false" outlineLevel="0" collapsed="false">
      <c r="A9" s="0" t="s">
        <v>2493</v>
      </c>
      <c r="B9" s="0" t="s">
        <v>24</v>
      </c>
      <c r="C9" s="0" t="str">
        <f aca="false">"263-274"</f>
        <v>263-274</v>
      </c>
      <c r="D9" s="0" t="s">
        <v>70</v>
      </c>
      <c r="E9" s="0" t="str">
        <f aca="false">"86-97"</f>
        <v>86-97</v>
      </c>
      <c r="F9" s="0" t="s">
        <v>2500</v>
      </c>
      <c r="G9" s="0" t="s">
        <v>9</v>
      </c>
      <c r="H9" s="0" t="str">
        <f aca="false">"30-41"</f>
        <v>30-41</v>
      </c>
      <c r="I9" s="0" t="s">
        <v>9</v>
      </c>
      <c r="J9" s="0" t="str">
        <f aca="false">"69-80"</f>
        <v>69-80</v>
      </c>
      <c r="K9" s="0" t="str">
        <f aca="false">"0.93"</f>
        <v>0.93</v>
      </c>
      <c r="L9" s="0" t="str">
        <f aca="false">"10.10"</f>
        <v>10.10</v>
      </c>
      <c r="M9" s="0" t="str">
        <f aca="false">"-49.7"</f>
        <v>-49.7</v>
      </c>
    </row>
    <row r="10" customFormat="false" ht="12.8" hidden="false" customHeight="false" outlineLevel="0" collapsed="false">
      <c r="A10" s="0" t="s">
        <v>2493</v>
      </c>
      <c r="B10" s="0" t="s">
        <v>24</v>
      </c>
      <c r="C10" s="0" t="str">
        <f aca="false">"262-273"</f>
        <v>262-273</v>
      </c>
      <c r="D10" s="0" t="s">
        <v>70</v>
      </c>
      <c r="E10" s="0" t="str">
        <f aca="false">"86-97"</f>
        <v>86-97</v>
      </c>
      <c r="F10" s="0" t="s">
        <v>2501</v>
      </c>
      <c r="G10" s="0" t="s">
        <v>9</v>
      </c>
      <c r="H10" s="0" t="str">
        <f aca="false">"65-76"</f>
        <v>65-76</v>
      </c>
      <c r="I10" s="0" t="s">
        <v>9</v>
      </c>
      <c r="J10" s="0" t="str">
        <f aca="false">"100-111"</f>
        <v>100-111</v>
      </c>
      <c r="K10" s="0" t="str">
        <f aca="false">"0.79"</f>
        <v>0.79</v>
      </c>
      <c r="L10" s="0" t="str">
        <f aca="false">"10.13"</f>
        <v>10.13</v>
      </c>
      <c r="M10" s="0" t="str">
        <f aca="false">"-48.6"</f>
        <v>-48.6</v>
      </c>
    </row>
    <row r="11" customFormat="false" ht="12.8" hidden="false" customHeight="false" outlineLevel="0" collapsed="false">
      <c r="A11" s="0" t="s">
        <v>2493</v>
      </c>
      <c r="B11" s="0" t="s">
        <v>24</v>
      </c>
      <c r="C11" s="0" t="str">
        <f aca="false">"263-274"</f>
        <v>263-274</v>
      </c>
      <c r="D11" s="0" t="s">
        <v>70</v>
      </c>
      <c r="E11" s="0" t="str">
        <f aca="false">"86-97"</f>
        <v>86-97</v>
      </c>
      <c r="F11" s="0" t="s">
        <v>2502</v>
      </c>
      <c r="G11" s="0" t="s">
        <v>9</v>
      </c>
      <c r="H11" s="0" t="str">
        <f aca="false">"37-48"</f>
        <v>37-48</v>
      </c>
      <c r="I11" s="0" t="s">
        <v>9</v>
      </c>
      <c r="J11" s="0" t="str">
        <f aca="false">"76-87"</f>
        <v>76-87</v>
      </c>
      <c r="K11" s="0" t="str">
        <f aca="false">"0.99"</f>
        <v>0.99</v>
      </c>
      <c r="L11" s="0" t="str">
        <f aca="false">"10.35"</f>
        <v>10.35</v>
      </c>
      <c r="M11" s="0" t="str">
        <f aca="false">"-54.3"</f>
        <v>-54.3</v>
      </c>
    </row>
    <row r="12" customFormat="false" ht="12.8" hidden="false" customHeight="false" outlineLevel="0" collapsed="false">
      <c r="A12" s="0" t="s">
        <v>2493</v>
      </c>
      <c r="B12" s="0" t="s">
        <v>24</v>
      </c>
      <c r="C12" s="0" t="str">
        <f aca="false">"259-270"</f>
        <v>259-270</v>
      </c>
      <c r="D12" s="0" t="s">
        <v>70</v>
      </c>
      <c r="E12" s="0" t="str">
        <f aca="false">"86-97"</f>
        <v>86-97</v>
      </c>
      <c r="F12" s="0" t="s">
        <v>2503</v>
      </c>
      <c r="G12" s="0" t="s">
        <v>9</v>
      </c>
      <c r="H12" s="0" t="str">
        <f aca="false">"81-92"</f>
        <v>81-92</v>
      </c>
      <c r="I12" s="0" t="s">
        <v>9</v>
      </c>
      <c r="J12" s="0" t="str">
        <f aca="false">"133-144"</f>
        <v>133-144</v>
      </c>
      <c r="K12" s="0" t="str">
        <f aca="false">"1.19"</f>
        <v>1.19</v>
      </c>
      <c r="L12" s="0" t="str">
        <f aca="false">"10.66"</f>
        <v>10.66</v>
      </c>
      <c r="M12" s="0" t="str">
        <f aca="false">"-51.4"</f>
        <v>-51.4</v>
      </c>
    </row>
    <row r="13" customFormat="false" ht="12.8" hidden="false" customHeight="false" outlineLevel="0" collapsed="false">
      <c r="A13" s="0" t="s">
        <v>2493</v>
      </c>
      <c r="B13" s="0" t="s">
        <v>24</v>
      </c>
      <c r="C13" s="0" t="str">
        <f aca="false">"263-274"</f>
        <v>263-274</v>
      </c>
      <c r="D13" s="0" t="s">
        <v>70</v>
      </c>
      <c r="E13" s="0" t="str">
        <f aca="false">"86-97"</f>
        <v>86-97</v>
      </c>
      <c r="F13" s="0" t="s">
        <v>2504</v>
      </c>
      <c r="G13" s="0" t="s">
        <v>24</v>
      </c>
      <c r="H13" s="0" t="str">
        <f aca="false">"130-141"</f>
        <v>130-141</v>
      </c>
      <c r="I13" s="0" t="s">
        <v>24</v>
      </c>
      <c r="J13" s="0" t="str">
        <f aca="false">"79-90"</f>
        <v>79-90</v>
      </c>
      <c r="K13" s="0" t="str">
        <f aca="false">"1.24"</f>
        <v>1.24</v>
      </c>
      <c r="L13" s="0" t="str">
        <f aca="false">"11.04"</f>
        <v>11.04</v>
      </c>
      <c r="M13" s="0" t="str">
        <f aca="false">"-46.0"</f>
        <v>-46.0</v>
      </c>
    </row>
    <row r="14" customFormat="false" ht="12.8" hidden="false" customHeight="false" outlineLevel="0" collapsed="false">
      <c r="A14" s="0" t="s">
        <v>2493</v>
      </c>
      <c r="B14" s="0" t="s">
        <v>24</v>
      </c>
      <c r="C14" s="0" t="str">
        <f aca="false">"259-270"</f>
        <v>259-270</v>
      </c>
      <c r="D14" s="0" t="s">
        <v>70</v>
      </c>
      <c r="E14" s="0" t="str">
        <f aca="false">"85-96"</f>
        <v>85-96</v>
      </c>
      <c r="F14" s="0" t="s">
        <v>2505</v>
      </c>
      <c r="G14" s="0" t="s">
        <v>9</v>
      </c>
      <c r="H14" s="0" t="str">
        <f aca="false">"358-369"</f>
        <v>358-369</v>
      </c>
      <c r="I14" s="0" t="s">
        <v>9</v>
      </c>
      <c r="J14" s="0" t="str">
        <f aca="false">"298-309"</f>
        <v>298-309</v>
      </c>
      <c r="K14" s="0" t="str">
        <f aca="false">"1.22"</f>
        <v>1.22</v>
      </c>
      <c r="L14" s="0" t="str">
        <f aca="false">"9.73"</f>
        <v>9.73</v>
      </c>
      <c r="M14" s="0" t="str">
        <f aca="false">"-59.5"</f>
        <v>-59.5</v>
      </c>
    </row>
    <row r="15" customFormat="false" ht="12.8" hidden="false" customHeight="false" outlineLevel="0" collapsed="false">
      <c r="A15" s="0" t="s">
        <v>2493</v>
      </c>
      <c r="B15" s="0" t="s">
        <v>24</v>
      </c>
      <c r="C15" s="0" t="str">
        <f aca="false">"259-270"</f>
        <v>259-270</v>
      </c>
      <c r="D15" s="0" t="s">
        <v>70</v>
      </c>
      <c r="E15" s="0" t="str">
        <f aca="false">"83-94"</f>
        <v>83-94</v>
      </c>
      <c r="F15" s="0" t="s">
        <v>2506</v>
      </c>
      <c r="G15" s="0" t="s">
        <v>9</v>
      </c>
      <c r="H15" s="0" t="str">
        <f aca="false">"80-91"</f>
        <v>80-91</v>
      </c>
      <c r="I15" s="0" t="s">
        <v>9</v>
      </c>
      <c r="J15" s="0" t="str">
        <f aca="false">"107-118"</f>
        <v>107-118</v>
      </c>
      <c r="K15" s="0" t="str">
        <f aca="false">"0.96"</f>
        <v>0.96</v>
      </c>
      <c r="L15" s="0" t="str">
        <f aca="false">"10.94"</f>
        <v>10.94</v>
      </c>
      <c r="M15" s="0" t="str">
        <f aca="false">"-46.6"</f>
        <v>-46.6</v>
      </c>
    </row>
    <row r="16" customFormat="false" ht="12.8" hidden="false" customHeight="false" outlineLevel="0" collapsed="false">
      <c r="A16" s="0" t="s">
        <v>2493</v>
      </c>
      <c r="B16" s="0" t="s">
        <v>24</v>
      </c>
      <c r="C16" s="0" t="str">
        <f aca="false">"260-271"</f>
        <v>260-271</v>
      </c>
      <c r="D16" s="0" t="s">
        <v>70</v>
      </c>
      <c r="E16" s="0" t="str">
        <f aca="false">"84-95"</f>
        <v>84-95</v>
      </c>
      <c r="F16" s="0" t="s">
        <v>2507</v>
      </c>
      <c r="G16" s="0" t="s">
        <v>1480</v>
      </c>
      <c r="H16" s="0" t="str">
        <f aca="false">"29-40"</f>
        <v>29-40</v>
      </c>
      <c r="I16" s="0" t="s">
        <v>62</v>
      </c>
      <c r="J16" s="0" t="str">
        <f aca="false">"59-70"</f>
        <v>59-70</v>
      </c>
      <c r="K16" s="0" t="str">
        <f aca="false">"1.20"</f>
        <v>1.20</v>
      </c>
      <c r="L16" s="0" t="str">
        <f aca="false">"10.72"</f>
        <v>10.72</v>
      </c>
      <c r="M16" s="0" t="str">
        <f aca="false">"-46.5"</f>
        <v>-46.5</v>
      </c>
    </row>
    <row r="17" customFormat="false" ht="12.8" hidden="false" customHeight="false" outlineLevel="0" collapsed="false">
      <c r="A17" s="0" t="s">
        <v>2493</v>
      </c>
      <c r="B17" s="0" t="s">
        <v>24</v>
      </c>
      <c r="C17" s="0" t="str">
        <f aca="false">"263-274"</f>
        <v>263-274</v>
      </c>
      <c r="D17" s="0" t="s">
        <v>70</v>
      </c>
      <c r="E17" s="0" t="str">
        <f aca="false">"86-97"</f>
        <v>86-97</v>
      </c>
      <c r="F17" s="0" t="s">
        <v>2508</v>
      </c>
      <c r="G17" s="0" t="s">
        <v>9</v>
      </c>
      <c r="H17" s="0" t="str">
        <f aca="false">"409-420"</f>
        <v>409-420</v>
      </c>
      <c r="I17" s="0" t="s">
        <v>9</v>
      </c>
      <c r="J17" s="0" t="str">
        <f aca="false">"245-256"</f>
        <v>245-256</v>
      </c>
      <c r="K17" s="0" t="str">
        <f aca="false">"1.22"</f>
        <v>1.22</v>
      </c>
      <c r="L17" s="0" t="str">
        <f aca="false">"10.63"</f>
        <v>10.63</v>
      </c>
      <c r="M17" s="0" t="str">
        <f aca="false">"-40.8"</f>
        <v>-40.8</v>
      </c>
    </row>
    <row r="18" customFormat="false" ht="12.8" hidden="false" customHeight="false" outlineLevel="0" collapsed="false">
      <c r="A18" s="0" t="s">
        <v>2493</v>
      </c>
      <c r="B18" s="0" t="s">
        <v>24</v>
      </c>
      <c r="C18" s="0" t="str">
        <f aca="false">"263-274"</f>
        <v>263-274</v>
      </c>
      <c r="D18" s="0" t="s">
        <v>70</v>
      </c>
      <c r="E18" s="0" t="str">
        <f aca="false">"87-98"</f>
        <v>87-98</v>
      </c>
      <c r="F18" s="0" t="s">
        <v>2509</v>
      </c>
      <c r="G18" s="0" t="s">
        <v>9</v>
      </c>
      <c r="H18" s="0" t="str">
        <f aca="false">"25-36"</f>
        <v>25-36</v>
      </c>
      <c r="I18" s="0" t="s">
        <v>9</v>
      </c>
      <c r="J18" s="0" t="str">
        <f aca="false">"51-62"</f>
        <v>51-62</v>
      </c>
      <c r="K18" s="0" t="str">
        <f aca="false">"1.24"</f>
        <v>1.24</v>
      </c>
      <c r="L18" s="0" t="str">
        <f aca="false">"10.04"</f>
        <v>10.04</v>
      </c>
      <c r="M18" s="0" t="str">
        <f aca="false">"-56.2"</f>
        <v>-56.2</v>
      </c>
    </row>
    <row r="19" customFormat="false" ht="12.8" hidden="false" customHeight="false" outlineLevel="0" collapsed="false">
      <c r="A19" s="0" t="s">
        <v>2493</v>
      </c>
      <c r="B19" s="0" t="s">
        <v>24</v>
      </c>
      <c r="C19" s="0" t="str">
        <f aca="false">"263-274"</f>
        <v>263-274</v>
      </c>
      <c r="D19" s="0" t="s">
        <v>70</v>
      </c>
      <c r="E19" s="0" t="str">
        <f aca="false">"87-98"</f>
        <v>87-98</v>
      </c>
      <c r="F19" s="0" t="s">
        <v>2510</v>
      </c>
      <c r="G19" s="0" t="s">
        <v>9</v>
      </c>
      <c r="H19" s="0" t="str">
        <f aca="false">"60-71"</f>
        <v>60-71</v>
      </c>
      <c r="I19" s="0" t="s">
        <v>9</v>
      </c>
      <c r="J19" s="0" t="str">
        <f aca="false">"190-201"</f>
        <v>190-201</v>
      </c>
      <c r="K19" s="0" t="str">
        <f aca="false">"1.13"</f>
        <v>1.13</v>
      </c>
      <c r="L19" s="0" t="str">
        <f aca="false">"11.54"</f>
        <v>11.54</v>
      </c>
      <c r="M19" s="0" t="str">
        <f aca="false">"-43.6"</f>
        <v>-43.6</v>
      </c>
    </row>
    <row r="20" customFormat="false" ht="12.8" hidden="false" customHeight="false" outlineLevel="0" collapsed="false">
      <c r="A20" s="0" t="s">
        <v>2493</v>
      </c>
      <c r="B20" s="0" t="s">
        <v>24</v>
      </c>
      <c r="C20" s="0" t="str">
        <f aca="false">"266-277"</f>
        <v>266-277</v>
      </c>
      <c r="D20" s="0" t="s">
        <v>70</v>
      </c>
      <c r="E20" s="0" t="str">
        <f aca="false">"87-98"</f>
        <v>87-98</v>
      </c>
      <c r="F20" s="0" t="s">
        <v>2511</v>
      </c>
      <c r="G20" s="0" t="s">
        <v>9</v>
      </c>
      <c r="H20" s="0" t="str">
        <f aca="false">"710-721"</f>
        <v>710-721</v>
      </c>
      <c r="I20" s="0" t="s">
        <v>9</v>
      </c>
      <c r="J20" s="0" t="str">
        <f aca="false">"645-656"</f>
        <v>645-656</v>
      </c>
      <c r="K20" s="0" t="str">
        <f aca="false">"1.23"</f>
        <v>1.23</v>
      </c>
      <c r="L20" s="0" t="str">
        <f aca="false">"11.09"</f>
        <v>11.09</v>
      </c>
      <c r="M20" s="0" t="str">
        <f aca="false">"-50.6"</f>
        <v>-50.6</v>
      </c>
    </row>
    <row r="21" customFormat="false" ht="12.8" hidden="false" customHeight="false" outlineLevel="0" collapsed="false">
      <c r="A21" s="0" t="s">
        <v>2493</v>
      </c>
      <c r="B21" s="0" t="s">
        <v>24</v>
      </c>
      <c r="C21" s="0" t="str">
        <f aca="false">"262-273"</f>
        <v>262-273</v>
      </c>
      <c r="D21" s="0" t="s">
        <v>70</v>
      </c>
      <c r="E21" s="0" t="str">
        <f aca="false">"84-95"</f>
        <v>84-95</v>
      </c>
      <c r="F21" s="0" t="s">
        <v>2512</v>
      </c>
      <c r="G21" s="0" t="s">
        <v>9</v>
      </c>
      <c r="H21" s="0" t="str">
        <f aca="false">"105-116"</f>
        <v>105-116</v>
      </c>
      <c r="I21" s="0" t="s">
        <v>9</v>
      </c>
      <c r="J21" s="0" t="str">
        <f aca="false">"72-83"</f>
        <v>72-83</v>
      </c>
      <c r="K21" s="0" t="str">
        <f aca="false">"0.94"</f>
        <v>0.94</v>
      </c>
      <c r="L21" s="0" t="str">
        <f aca="false">"10.62"</f>
        <v>10.62</v>
      </c>
      <c r="M21" s="0" t="str">
        <f aca="false">"-45.7"</f>
        <v>-45.7</v>
      </c>
    </row>
    <row r="22" customFormat="false" ht="12.8" hidden="false" customHeight="false" outlineLevel="0" collapsed="false">
      <c r="A22" s="0" t="s">
        <v>2493</v>
      </c>
      <c r="B22" s="0" t="s">
        <v>24</v>
      </c>
      <c r="C22" s="0" t="str">
        <f aca="false">"259-270"</f>
        <v>259-270</v>
      </c>
      <c r="D22" s="0" t="s">
        <v>70</v>
      </c>
      <c r="E22" s="0" t="str">
        <f aca="false">"86-97"</f>
        <v>86-97</v>
      </c>
      <c r="F22" s="0" t="s">
        <v>2513</v>
      </c>
      <c r="G22" s="0" t="s">
        <v>13</v>
      </c>
      <c r="H22" s="0" t="str">
        <f aca="false">"71-82"</f>
        <v>71-82</v>
      </c>
      <c r="I22" s="0" t="s">
        <v>9</v>
      </c>
      <c r="J22" s="0" t="str">
        <f aca="false">"71-82"</f>
        <v>71-82</v>
      </c>
      <c r="K22" s="0" t="str">
        <f aca="false">"1.16"</f>
        <v>1.16</v>
      </c>
      <c r="L22" s="0" t="str">
        <f aca="false">"12.15"</f>
        <v>12.15</v>
      </c>
      <c r="M22" s="0" t="str">
        <f aca="false">"-63.5"</f>
        <v>-63.5</v>
      </c>
    </row>
    <row r="23" customFormat="false" ht="12.8" hidden="false" customHeight="false" outlineLevel="0" collapsed="false">
      <c r="A23" s="0" t="s">
        <v>2493</v>
      </c>
      <c r="B23" s="0" t="s">
        <v>24</v>
      </c>
      <c r="C23" s="0" t="str">
        <f aca="false">"263-274"</f>
        <v>263-274</v>
      </c>
      <c r="D23" s="0" t="s">
        <v>70</v>
      </c>
      <c r="E23" s="0" t="str">
        <f aca="false">"87-98"</f>
        <v>87-98</v>
      </c>
      <c r="F23" s="0" t="s">
        <v>2514</v>
      </c>
      <c r="G23" s="0" t="s">
        <v>9</v>
      </c>
      <c r="H23" s="0" t="str">
        <f aca="false">"100-111"</f>
        <v>100-111</v>
      </c>
      <c r="I23" s="0" t="s">
        <v>9</v>
      </c>
      <c r="J23" s="0" t="str">
        <f aca="false">"7-18"</f>
        <v>7-18</v>
      </c>
      <c r="K23" s="0" t="str">
        <f aca="false">"0.65"</f>
        <v>0.65</v>
      </c>
      <c r="L23" s="0" t="str">
        <f aca="false">"11.11"</f>
        <v>11.11</v>
      </c>
      <c r="M23" s="0" t="str">
        <f aca="false">"-51.1"</f>
        <v>-51.1</v>
      </c>
    </row>
    <row r="24" customFormat="false" ht="12.8" hidden="false" customHeight="false" outlineLevel="0" collapsed="false">
      <c r="A24" s="0" t="s">
        <v>2493</v>
      </c>
      <c r="B24" s="0" t="s">
        <v>24</v>
      </c>
      <c r="C24" s="0" t="str">
        <f aca="false">"262-273"</f>
        <v>262-273</v>
      </c>
      <c r="D24" s="0" t="s">
        <v>70</v>
      </c>
      <c r="E24" s="0" t="str">
        <f aca="false">"87-98"</f>
        <v>87-98</v>
      </c>
      <c r="F24" s="0" t="s">
        <v>2515</v>
      </c>
      <c r="G24" s="0" t="s">
        <v>9</v>
      </c>
      <c r="H24" s="0" t="str">
        <f aca="false">"34-45"</f>
        <v>34-45</v>
      </c>
      <c r="I24" s="0" t="s">
        <v>120</v>
      </c>
      <c r="J24" s="0" t="str">
        <f aca="false">"35-46"</f>
        <v>35-46</v>
      </c>
      <c r="K24" s="0" t="str">
        <f aca="false">"1.04"</f>
        <v>1.04</v>
      </c>
      <c r="L24" s="0" t="str">
        <f aca="false">"9.87"</f>
        <v>9.87</v>
      </c>
      <c r="M24" s="0" t="str">
        <f aca="false">"-59.6"</f>
        <v>-59.6</v>
      </c>
    </row>
    <row r="25" customFormat="false" ht="12.8" hidden="false" customHeight="false" outlineLevel="0" collapsed="false">
      <c r="A25" s="0" t="s">
        <v>2493</v>
      </c>
      <c r="B25" s="0" t="s">
        <v>24</v>
      </c>
      <c r="C25" s="0" t="str">
        <f aca="false">"258-269"</f>
        <v>258-269</v>
      </c>
      <c r="D25" s="0" t="s">
        <v>70</v>
      </c>
      <c r="E25" s="0" t="str">
        <f aca="false">"86-97"</f>
        <v>86-97</v>
      </c>
      <c r="F25" s="0" t="s">
        <v>2516</v>
      </c>
      <c r="G25" s="0" t="s">
        <v>13</v>
      </c>
      <c r="H25" s="0" t="str">
        <f aca="false">"66-77"</f>
        <v>66-77</v>
      </c>
      <c r="I25" s="0" t="s">
        <v>120</v>
      </c>
      <c r="J25" s="0" t="str">
        <f aca="false">"59-70"</f>
        <v>59-70</v>
      </c>
      <c r="K25" s="0" t="str">
        <f aca="false">"1.12"</f>
        <v>1.12</v>
      </c>
      <c r="L25" s="0" t="str">
        <f aca="false">"10.87"</f>
        <v>10.87</v>
      </c>
      <c r="M25" s="0" t="str">
        <f aca="false">"-54.2"</f>
        <v>-54.2</v>
      </c>
    </row>
    <row r="26" customFormat="false" ht="12.8" hidden="false" customHeight="false" outlineLevel="0" collapsed="false">
      <c r="A26" s="0" t="s">
        <v>2493</v>
      </c>
      <c r="B26" s="0" t="s">
        <v>24</v>
      </c>
      <c r="C26" s="0" t="str">
        <f aca="false">"262-273"</f>
        <v>262-273</v>
      </c>
      <c r="D26" s="0" t="s">
        <v>70</v>
      </c>
      <c r="E26" s="0" t="str">
        <f aca="false">"84-95"</f>
        <v>84-95</v>
      </c>
      <c r="F26" s="0" t="s">
        <v>2517</v>
      </c>
      <c r="G26" s="0" t="s">
        <v>9</v>
      </c>
      <c r="H26" s="0" t="str">
        <f aca="false">"214-225"</f>
        <v>214-225</v>
      </c>
      <c r="I26" s="0" t="s">
        <v>9</v>
      </c>
      <c r="J26" s="0" t="str">
        <f aca="false">"301-312"</f>
        <v>301-312</v>
      </c>
      <c r="K26" s="0" t="str">
        <f aca="false">"1.14"</f>
        <v>1.14</v>
      </c>
      <c r="L26" s="0" t="str">
        <f aca="false">"12.13"</f>
        <v>12.13</v>
      </c>
      <c r="M26" s="0" t="str">
        <f aca="false">"-45.6"</f>
        <v>-45.6</v>
      </c>
    </row>
    <row r="27" customFormat="false" ht="12.8" hidden="false" customHeight="false" outlineLevel="0" collapsed="false">
      <c r="A27" s="0" t="s">
        <v>2493</v>
      </c>
      <c r="B27" s="0" t="s">
        <v>24</v>
      </c>
      <c r="C27" s="0" t="str">
        <f aca="false">"262-273"</f>
        <v>262-273</v>
      </c>
      <c r="D27" s="0" t="s">
        <v>70</v>
      </c>
      <c r="E27" s="0" t="str">
        <f aca="false">"84-95"</f>
        <v>84-95</v>
      </c>
      <c r="F27" s="0" t="s">
        <v>2518</v>
      </c>
      <c r="G27" s="0" t="s">
        <v>9</v>
      </c>
      <c r="H27" s="0" t="str">
        <f aca="false">"163-174"</f>
        <v>163-174</v>
      </c>
      <c r="I27" s="0" t="s">
        <v>9</v>
      </c>
      <c r="J27" s="0" t="str">
        <f aca="false">"125-136"</f>
        <v>125-136</v>
      </c>
      <c r="K27" s="0" t="str">
        <f aca="false">"1.18"</f>
        <v>1.18</v>
      </c>
      <c r="L27" s="0" t="str">
        <f aca="false">"11.67"</f>
        <v>11.67</v>
      </c>
      <c r="M27" s="0" t="str">
        <f aca="false">"-48.2"</f>
        <v>-48.2</v>
      </c>
    </row>
    <row r="28" customFormat="false" ht="12.8" hidden="false" customHeight="false" outlineLevel="0" collapsed="false">
      <c r="A28" s="0" t="s">
        <v>2493</v>
      </c>
      <c r="B28" s="0" t="s">
        <v>24</v>
      </c>
      <c r="C28" s="0" t="str">
        <f aca="false">"256-267"</f>
        <v>256-267</v>
      </c>
      <c r="D28" s="0" t="s">
        <v>70</v>
      </c>
      <c r="E28" s="0" t="str">
        <f aca="false">"83-94"</f>
        <v>83-94</v>
      </c>
      <c r="F28" s="0" t="s">
        <v>2519</v>
      </c>
      <c r="G28" s="0" t="s">
        <v>9</v>
      </c>
      <c r="H28" s="0" t="str">
        <f aca="false">"266-277"</f>
        <v>266-277</v>
      </c>
      <c r="I28" s="0" t="s">
        <v>9</v>
      </c>
      <c r="J28" s="0" t="str">
        <f aca="false">"310-321"</f>
        <v>310-321</v>
      </c>
      <c r="K28" s="0" t="str">
        <f aca="false">"1.12"</f>
        <v>1.12</v>
      </c>
      <c r="L28" s="0" t="str">
        <f aca="false">"12.09"</f>
        <v>12.09</v>
      </c>
      <c r="M28" s="0" t="str">
        <f aca="false">"-56.1"</f>
        <v>-56.1</v>
      </c>
    </row>
    <row r="29" customFormat="false" ht="12.8" hidden="false" customHeight="false" outlineLevel="0" collapsed="false">
      <c r="A29" s="0" t="s">
        <v>2493</v>
      </c>
      <c r="B29" s="0" t="s">
        <v>24</v>
      </c>
      <c r="C29" s="0" t="str">
        <f aca="false">"259-270"</f>
        <v>259-270</v>
      </c>
      <c r="D29" s="0" t="s">
        <v>70</v>
      </c>
      <c r="E29" s="0" t="str">
        <f aca="false">"86-97"</f>
        <v>86-97</v>
      </c>
      <c r="F29" s="0" t="s">
        <v>2520</v>
      </c>
      <c r="G29" s="0" t="s">
        <v>9</v>
      </c>
      <c r="H29" s="0" t="str">
        <f aca="false">"845-856"</f>
        <v>845-856</v>
      </c>
      <c r="I29" s="0" t="s">
        <v>9</v>
      </c>
      <c r="J29" s="0" t="str">
        <f aca="false">"929-940"</f>
        <v>929-940</v>
      </c>
      <c r="K29" s="0" t="str">
        <f aca="false">"1.16"</f>
        <v>1.16</v>
      </c>
      <c r="L29" s="0" t="str">
        <f aca="false">"10.80"</f>
        <v>10.80</v>
      </c>
      <c r="M29" s="0" t="str">
        <f aca="false">"-59.3"</f>
        <v>-59.3</v>
      </c>
    </row>
    <row r="30" customFormat="false" ht="12.8" hidden="false" customHeight="false" outlineLevel="0" collapsed="false">
      <c r="A30" s="0" t="s">
        <v>2493</v>
      </c>
      <c r="B30" s="0" t="s">
        <v>24</v>
      </c>
      <c r="C30" s="0" t="str">
        <f aca="false">"259-270"</f>
        <v>259-270</v>
      </c>
      <c r="D30" s="0" t="s">
        <v>70</v>
      </c>
      <c r="E30" s="0" t="str">
        <f aca="false">"83-94"</f>
        <v>83-94</v>
      </c>
      <c r="F30" s="0" t="s">
        <v>2521</v>
      </c>
      <c r="G30" s="0" t="s">
        <v>120</v>
      </c>
      <c r="H30" s="0" t="str">
        <f aca="false">"119-130"</f>
        <v>119-130</v>
      </c>
      <c r="I30" s="0" t="s">
        <v>120</v>
      </c>
      <c r="J30" s="0" t="str">
        <f aca="false">"86-97"</f>
        <v>86-97</v>
      </c>
      <c r="K30" s="0" t="str">
        <f aca="false">"0.53"</f>
        <v>0.53</v>
      </c>
      <c r="L30" s="0" t="str">
        <f aca="false">"11.34"</f>
        <v>11.34</v>
      </c>
      <c r="M30" s="0" t="str">
        <f aca="false">"-49.7"</f>
        <v>-49.7</v>
      </c>
    </row>
    <row r="31" customFormat="false" ht="12.8" hidden="false" customHeight="false" outlineLevel="0" collapsed="false">
      <c r="A31" s="0" t="s">
        <v>2493</v>
      </c>
      <c r="B31" s="0" t="s">
        <v>24</v>
      </c>
      <c r="C31" s="0" t="str">
        <f aca="false">"259-270"</f>
        <v>259-270</v>
      </c>
      <c r="D31" s="0" t="s">
        <v>70</v>
      </c>
      <c r="E31" s="0" t="str">
        <f aca="false">"84-95"</f>
        <v>84-95</v>
      </c>
      <c r="F31" s="0" t="s">
        <v>2522</v>
      </c>
      <c r="G31" s="0" t="s">
        <v>9</v>
      </c>
      <c r="H31" s="0" t="str">
        <f aca="false">"291-302"</f>
        <v>291-302</v>
      </c>
      <c r="I31" s="0" t="s">
        <v>9</v>
      </c>
      <c r="J31" s="0" t="str">
        <f aca="false">"255-266"</f>
        <v>255-266</v>
      </c>
      <c r="K31" s="0" t="str">
        <f aca="false">"0.93"</f>
        <v>0.93</v>
      </c>
      <c r="L31" s="0" t="str">
        <f aca="false">"11.38"</f>
        <v>11.38</v>
      </c>
      <c r="M31" s="0" t="str">
        <f aca="false">"-35.8"</f>
        <v>-35.8</v>
      </c>
    </row>
    <row r="32" customFormat="false" ht="12.8" hidden="false" customHeight="false" outlineLevel="0" collapsed="false">
      <c r="A32" s="0" t="s">
        <v>2493</v>
      </c>
      <c r="B32" s="0" t="s">
        <v>24</v>
      </c>
      <c r="C32" s="0" t="str">
        <f aca="false">"263-274"</f>
        <v>263-274</v>
      </c>
      <c r="D32" s="0" t="s">
        <v>70</v>
      </c>
      <c r="E32" s="0" t="str">
        <f aca="false">"86-97"</f>
        <v>86-97</v>
      </c>
      <c r="F32" s="0" t="s">
        <v>2523</v>
      </c>
      <c r="G32" s="0" t="s">
        <v>9</v>
      </c>
      <c r="H32" s="0" t="str">
        <f aca="false">"39-50"</f>
        <v>39-50</v>
      </c>
      <c r="I32" s="0" t="s">
        <v>9</v>
      </c>
      <c r="J32" s="0" t="str">
        <f aca="false">"77-88"</f>
        <v>77-88</v>
      </c>
      <c r="K32" s="0" t="str">
        <f aca="false">"1.20"</f>
        <v>1.20</v>
      </c>
      <c r="L32" s="0" t="str">
        <f aca="false">"10.97"</f>
        <v>10.97</v>
      </c>
      <c r="M32" s="0" t="str">
        <f aca="false">"-48.3"</f>
        <v>-48.3</v>
      </c>
    </row>
    <row r="33" customFormat="false" ht="12.8" hidden="false" customHeight="false" outlineLevel="0" collapsed="false">
      <c r="A33" s="0" t="s">
        <v>2493</v>
      </c>
      <c r="B33" s="0" t="s">
        <v>24</v>
      </c>
      <c r="C33" s="0" t="str">
        <f aca="false">"259-270"</f>
        <v>259-270</v>
      </c>
      <c r="D33" s="0" t="s">
        <v>70</v>
      </c>
      <c r="E33" s="0" t="str">
        <f aca="false">"82-93"</f>
        <v>82-93</v>
      </c>
      <c r="F33" s="0" t="s">
        <v>2524</v>
      </c>
      <c r="G33" s="0" t="s">
        <v>9</v>
      </c>
      <c r="H33" s="0" t="str">
        <f aca="false">"48-59"</f>
        <v>48-59</v>
      </c>
      <c r="I33" s="0" t="s">
        <v>9</v>
      </c>
      <c r="J33" s="0" t="str">
        <f aca="false">"98-109"</f>
        <v>98-109</v>
      </c>
      <c r="K33" s="0" t="str">
        <f aca="false">"0.90"</f>
        <v>0.90</v>
      </c>
      <c r="L33" s="0" t="str">
        <f aca="false">"11.19"</f>
        <v>11.19</v>
      </c>
      <c r="M33" s="0" t="str">
        <f aca="false">"-55.8"</f>
        <v>-55.8</v>
      </c>
    </row>
    <row r="34" customFormat="false" ht="12.8" hidden="false" customHeight="false" outlineLevel="0" collapsed="false">
      <c r="A34" s="0" t="s">
        <v>2493</v>
      </c>
      <c r="B34" s="0" t="s">
        <v>24</v>
      </c>
      <c r="C34" s="0" t="str">
        <f aca="false">"258-269"</f>
        <v>258-269</v>
      </c>
      <c r="D34" s="0" t="s">
        <v>70</v>
      </c>
      <c r="E34" s="0" t="str">
        <f aca="false">"81-92"</f>
        <v>81-92</v>
      </c>
      <c r="F34" s="0" t="s">
        <v>2525</v>
      </c>
      <c r="G34" s="0" t="s">
        <v>9</v>
      </c>
      <c r="H34" s="0" t="str">
        <f aca="false">"315-326"</f>
        <v>315-326</v>
      </c>
      <c r="I34" s="0" t="s">
        <v>9</v>
      </c>
      <c r="J34" s="0" t="str">
        <f aca="false">"212-223"</f>
        <v>212-223</v>
      </c>
      <c r="K34" s="0" t="str">
        <f aca="false">"1.19"</f>
        <v>1.19</v>
      </c>
      <c r="L34" s="0" t="str">
        <f aca="false">"12.10"</f>
        <v>12.10</v>
      </c>
      <c r="M34" s="0" t="str">
        <f aca="false">"-54.6"</f>
        <v>-54.6</v>
      </c>
    </row>
    <row r="35" customFormat="false" ht="12.8" hidden="false" customHeight="false" outlineLevel="0" collapsed="false">
      <c r="A35" s="0" t="s">
        <v>2493</v>
      </c>
      <c r="B35" s="0" t="s">
        <v>24</v>
      </c>
      <c r="C35" s="0" t="str">
        <f aca="false">"259-270"</f>
        <v>259-270</v>
      </c>
      <c r="D35" s="0" t="s">
        <v>70</v>
      </c>
      <c r="E35" s="0" t="str">
        <f aca="false">"86-97"</f>
        <v>86-97</v>
      </c>
      <c r="F35" s="0" t="s">
        <v>2526</v>
      </c>
      <c r="G35" s="0" t="s">
        <v>13</v>
      </c>
      <c r="H35" s="0" t="str">
        <f aca="false">"37-48"</f>
        <v>37-48</v>
      </c>
      <c r="I35" s="0" t="s">
        <v>120</v>
      </c>
      <c r="J35" s="0" t="str">
        <f aca="false">"40-51"</f>
        <v>40-51</v>
      </c>
      <c r="K35" s="0" t="str">
        <f aca="false">"1.15"</f>
        <v>1.15</v>
      </c>
      <c r="L35" s="0" t="str">
        <f aca="false">"11.86"</f>
        <v>11.86</v>
      </c>
      <c r="M35" s="0" t="str">
        <f aca="false">"-49.6"</f>
        <v>-49.6</v>
      </c>
    </row>
    <row r="36" customFormat="false" ht="12.8" hidden="false" customHeight="false" outlineLevel="0" collapsed="false">
      <c r="A36" s="0" t="s">
        <v>2493</v>
      </c>
      <c r="B36" s="0" t="s">
        <v>24</v>
      </c>
      <c r="C36" s="0" t="str">
        <f aca="false">"259-270"</f>
        <v>259-270</v>
      </c>
      <c r="D36" s="0" t="s">
        <v>70</v>
      </c>
      <c r="E36" s="0" t="str">
        <f aca="false">"84-95"</f>
        <v>84-95</v>
      </c>
      <c r="F36" s="0" t="s">
        <v>2527</v>
      </c>
      <c r="G36" s="0" t="s">
        <v>9</v>
      </c>
      <c r="H36" s="0" t="str">
        <f aca="false">"174-185"</f>
        <v>174-185</v>
      </c>
      <c r="I36" s="0" t="s">
        <v>9</v>
      </c>
      <c r="J36" s="0" t="str">
        <f aca="false">"107-118"</f>
        <v>107-118</v>
      </c>
      <c r="K36" s="0" t="str">
        <f aca="false">"1.04"</f>
        <v>1.04</v>
      </c>
      <c r="L36" s="0" t="str">
        <f aca="false">"11.50"</f>
        <v>11.50</v>
      </c>
      <c r="M36" s="0" t="str">
        <f aca="false">"-36.9"</f>
        <v>-36.9</v>
      </c>
    </row>
    <row r="37" customFormat="false" ht="12.8" hidden="false" customHeight="false" outlineLevel="0" collapsed="false">
      <c r="A37" s="0" t="s">
        <v>2493</v>
      </c>
      <c r="B37" s="0" t="s">
        <v>24</v>
      </c>
      <c r="C37" s="0" t="str">
        <f aca="false">"260-271"</f>
        <v>260-271</v>
      </c>
      <c r="D37" s="0" t="s">
        <v>70</v>
      </c>
      <c r="E37" s="0" t="str">
        <f aca="false">"87-98"</f>
        <v>87-98</v>
      </c>
      <c r="F37" s="0" t="s">
        <v>2528</v>
      </c>
      <c r="G37" s="0" t="s">
        <v>9</v>
      </c>
      <c r="H37" s="0" t="str">
        <f aca="false">"51-62"</f>
        <v>51-62</v>
      </c>
      <c r="I37" s="0" t="s">
        <v>9</v>
      </c>
      <c r="J37" s="0" t="str">
        <f aca="false">"79-90"</f>
        <v>79-90</v>
      </c>
      <c r="K37" s="0" t="str">
        <f aca="false">"1.12"</f>
        <v>1.12</v>
      </c>
      <c r="L37" s="0" t="str">
        <f aca="false">"10.27"</f>
        <v>10.27</v>
      </c>
      <c r="M37" s="0" t="str">
        <f aca="false">"-63.5"</f>
        <v>-63.5</v>
      </c>
    </row>
    <row r="38" customFormat="false" ht="12.8" hidden="false" customHeight="false" outlineLevel="0" collapsed="false">
      <c r="A38" s="0" t="s">
        <v>2493</v>
      </c>
      <c r="B38" s="0" t="s">
        <v>24</v>
      </c>
      <c r="C38" s="0" t="str">
        <f aca="false">"263-274"</f>
        <v>263-274</v>
      </c>
      <c r="D38" s="0" t="s">
        <v>70</v>
      </c>
      <c r="E38" s="0" t="str">
        <f aca="false">"87-98"</f>
        <v>87-98</v>
      </c>
      <c r="F38" s="0" t="s">
        <v>2529</v>
      </c>
      <c r="G38" s="0" t="s">
        <v>24</v>
      </c>
      <c r="H38" s="0" t="str">
        <f aca="false">"158-169"</f>
        <v>158-169</v>
      </c>
      <c r="I38" s="0" t="s">
        <v>24</v>
      </c>
      <c r="J38" s="0" t="str">
        <f aca="false">"34-45"</f>
        <v>34-45</v>
      </c>
      <c r="K38" s="0" t="str">
        <f aca="false">"1.24"</f>
        <v>1.24</v>
      </c>
      <c r="L38" s="0" t="str">
        <f aca="false">"11.25"</f>
        <v>11.25</v>
      </c>
      <c r="M38" s="0" t="str">
        <f aca="false">"-56.7"</f>
        <v>-56.7</v>
      </c>
    </row>
    <row r="39" customFormat="false" ht="12.8" hidden="false" customHeight="false" outlineLevel="0" collapsed="false">
      <c r="A39" s="0" t="s">
        <v>2493</v>
      </c>
      <c r="B39" s="0" t="s">
        <v>24</v>
      </c>
      <c r="C39" s="0" t="str">
        <f aca="false">"260-271"</f>
        <v>260-271</v>
      </c>
      <c r="D39" s="0" t="s">
        <v>70</v>
      </c>
      <c r="E39" s="0" t="str">
        <f aca="false">"82-93"</f>
        <v>82-93</v>
      </c>
      <c r="F39" s="0" t="s">
        <v>2530</v>
      </c>
      <c r="G39" s="0" t="s">
        <v>9</v>
      </c>
      <c r="H39" s="0" t="str">
        <f aca="false">"22-33"</f>
        <v>22-33</v>
      </c>
      <c r="I39" s="0" t="s">
        <v>9</v>
      </c>
      <c r="J39" s="0" t="str">
        <f aca="false">"76-87"</f>
        <v>76-87</v>
      </c>
      <c r="K39" s="0" t="str">
        <f aca="false">"1.18"</f>
        <v>1.18</v>
      </c>
      <c r="L39" s="0" t="str">
        <f aca="false">"13.58"</f>
        <v>13.58</v>
      </c>
      <c r="M39" s="0" t="str">
        <f aca="false">"-53.6"</f>
        <v>-53.6</v>
      </c>
    </row>
    <row r="40" customFormat="false" ht="12.8" hidden="false" customHeight="false" outlineLevel="0" collapsed="false">
      <c r="A40" s="0" t="s">
        <v>2493</v>
      </c>
      <c r="B40" s="0" t="s">
        <v>24</v>
      </c>
      <c r="C40" s="0" t="str">
        <f aca="false">"260-271"</f>
        <v>260-271</v>
      </c>
      <c r="D40" s="0" t="s">
        <v>70</v>
      </c>
      <c r="E40" s="0" t="str">
        <f aca="false">"82-93"</f>
        <v>82-93</v>
      </c>
      <c r="F40" s="0" t="s">
        <v>2531</v>
      </c>
      <c r="G40" s="0" t="s">
        <v>9</v>
      </c>
      <c r="H40" s="0" t="str">
        <f aca="false">"50-61"</f>
        <v>50-61</v>
      </c>
      <c r="I40" s="0" t="s">
        <v>9</v>
      </c>
      <c r="J40" s="0" t="str">
        <f aca="false">"104-115"</f>
        <v>104-115</v>
      </c>
      <c r="K40" s="0" t="str">
        <f aca="false">"1.16"</f>
        <v>1.16</v>
      </c>
      <c r="L40" s="0" t="str">
        <f aca="false">"13.13"</f>
        <v>13.13</v>
      </c>
      <c r="M40" s="0" t="str">
        <f aca="false">"-52.8"</f>
        <v>-52.8</v>
      </c>
    </row>
    <row r="41" customFormat="false" ht="12.8" hidden="false" customHeight="false" outlineLevel="0" collapsed="false">
      <c r="A41" s="0" t="s">
        <v>2493</v>
      </c>
      <c r="B41" s="0" t="s">
        <v>24</v>
      </c>
      <c r="C41" s="0" t="str">
        <f aca="false">"260-271"</f>
        <v>260-271</v>
      </c>
      <c r="D41" s="0" t="s">
        <v>70</v>
      </c>
      <c r="E41" s="0" t="str">
        <f aca="false">"82-93"</f>
        <v>82-93</v>
      </c>
      <c r="F41" s="0" t="s">
        <v>2532</v>
      </c>
      <c r="G41" s="0" t="s">
        <v>9</v>
      </c>
      <c r="H41" s="0" t="str">
        <f aca="false">"20-31"</f>
        <v>20-31</v>
      </c>
      <c r="I41" s="0" t="s">
        <v>9</v>
      </c>
      <c r="J41" s="0" t="str">
        <f aca="false">"74-85"</f>
        <v>74-85</v>
      </c>
      <c r="K41" s="0" t="str">
        <f aca="false">"1.23"</f>
        <v>1.23</v>
      </c>
      <c r="L41" s="0" t="str">
        <f aca="false">"12.79"</f>
        <v>12.79</v>
      </c>
      <c r="M41" s="0" t="str">
        <f aca="false">"-57.2"</f>
        <v>-57.2</v>
      </c>
    </row>
    <row r="42" customFormat="false" ht="12.8" hidden="false" customHeight="false" outlineLevel="0" collapsed="false">
      <c r="A42" s="0" t="s">
        <v>2493</v>
      </c>
      <c r="B42" s="0" t="s">
        <v>24</v>
      </c>
      <c r="C42" s="0" t="str">
        <f aca="false">"259-270"</f>
        <v>259-270</v>
      </c>
      <c r="D42" s="0" t="s">
        <v>70</v>
      </c>
      <c r="E42" s="0" t="str">
        <f aca="false">"85-96"</f>
        <v>85-96</v>
      </c>
      <c r="F42" s="0" t="s">
        <v>2533</v>
      </c>
      <c r="G42" s="0" t="s">
        <v>9</v>
      </c>
      <c r="H42" s="0" t="str">
        <f aca="false">"137-148"</f>
        <v>137-148</v>
      </c>
      <c r="I42" s="0" t="s">
        <v>9</v>
      </c>
      <c r="J42" s="0" t="str">
        <f aca="false">"8-19"</f>
        <v>8-19</v>
      </c>
      <c r="K42" s="0" t="str">
        <f aca="false">"0.89"</f>
        <v>0.89</v>
      </c>
      <c r="L42" s="0" t="str">
        <f aca="false">"10.75"</f>
        <v>10.75</v>
      </c>
      <c r="M42" s="0" t="str">
        <f aca="false">"-53.4"</f>
        <v>-53.4</v>
      </c>
    </row>
    <row r="43" customFormat="false" ht="12.8" hidden="false" customHeight="false" outlineLevel="0" collapsed="false">
      <c r="A43" s="0" t="s">
        <v>2493</v>
      </c>
      <c r="B43" s="0" t="s">
        <v>24</v>
      </c>
      <c r="C43" s="0" t="str">
        <f aca="false">"259-270"</f>
        <v>259-270</v>
      </c>
      <c r="D43" s="0" t="s">
        <v>70</v>
      </c>
      <c r="E43" s="0" t="str">
        <f aca="false">"83-94"</f>
        <v>83-94</v>
      </c>
      <c r="F43" s="0" t="s">
        <v>2534</v>
      </c>
      <c r="G43" s="0" t="s">
        <v>9</v>
      </c>
      <c r="H43" s="0" t="str">
        <f aca="false">"288-299"</f>
        <v>288-299</v>
      </c>
      <c r="I43" s="0" t="s">
        <v>9</v>
      </c>
      <c r="J43" s="0" t="str">
        <f aca="false">"350-361"</f>
        <v>350-361</v>
      </c>
      <c r="K43" s="0" t="str">
        <f aca="false">"0.98"</f>
        <v>0.98</v>
      </c>
      <c r="L43" s="0" t="str">
        <f aca="false">"12.29"</f>
        <v>12.29</v>
      </c>
      <c r="M43" s="0" t="str">
        <f aca="false">"-61.2"</f>
        <v>-61.2</v>
      </c>
    </row>
    <row r="44" customFormat="false" ht="12.8" hidden="false" customHeight="false" outlineLevel="0" collapsed="false">
      <c r="A44" s="0" t="s">
        <v>2493</v>
      </c>
      <c r="B44" s="0" t="s">
        <v>24</v>
      </c>
      <c r="C44" s="0" t="str">
        <f aca="false">"258-269"</f>
        <v>258-269</v>
      </c>
      <c r="D44" s="0" t="s">
        <v>70</v>
      </c>
      <c r="E44" s="0" t="str">
        <f aca="false">"87-98"</f>
        <v>87-98</v>
      </c>
      <c r="F44" s="0" t="s">
        <v>2535</v>
      </c>
      <c r="G44" s="0" t="s">
        <v>9</v>
      </c>
      <c r="H44" s="0" t="str">
        <f aca="false">"115-126"</f>
        <v>115-126</v>
      </c>
      <c r="I44" s="0" t="s">
        <v>9</v>
      </c>
      <c r="J44" s="0" t="str">
        <f aca="false">"87-98"</f>
        <v>87-98</v>
      </c>
      <c r="K44" s="0" t="str">
        <f aca="false">"1.22"</f>
        <v>1.22</v>
      </c>
      <c r="L44" s="0" t="str">
        <f aca="false">"10.96"</f>
        <v>10.96</v>
      </c>
      <c r="M44" s="0" t="str">
        <f aca="false">"-55.8"</f>
        <v>-55.8</v>
      </c>
    </row>
    <row r="45" customFormat="false" ht="12.8" hidden="false" customHeight="false" outlineLevel="0" collapsed="false">
      <c r="A45" s="0" t="s">
        <v>2493</v>
      </c>
      <c r="B45" s="0" t="s">
        <v>24</v>
      </c>
      <c r="C45" s="0" t="str">
        <f aca="false">"257-268"</f>
        <v>257-268</v>
      </c>
      <c r="D45" s="0" t="s">
        <v>70</v>
      </c>
      <c r="E45" s="0" t="str">
        <f aca="false">"84-95"</f>
        <v>84-95</v>
      </c>
      <c r="F45" s="0" t="s">
        <v>2536</v>
      </c>
      <c r="G45" s="0" t="s">
        <v>13</v>
      </c>
      <c r="H45" s="0" t="str">
        <f aca="false">"94-105"</f>
        <v>94-105</v>
      </c>
      <c r="I45" s="0" t="s">
        <v>9</v>
      </c>
      <c r="J45" s="0" t="str">
        <f aca="false">"29-40"</f>
        <v>29-40</v>
      </c>
      <c r="K45" s="0" t="str">
        <f aca="false">"0.93"</f>
        <v>0.93</v>
      </c>
      <c r="L45" s="0" t="str">
        <f aca="false">"11.75"</f>
        <v>11.75</v>
      </c>
      <c r="M45" s="0" t="str">
        <f aca="false">"-50.3"</f>
        <v>-50.3</v>
      </c>
    </row>
    <row r="46" customFormat="false" ht="12.8" hidden="false" customHeight="false" outlineLevel="0" collapsed="false">
      <c r="A46" s="0" t="s">
        <v>2493</v>
      </c>
      <c r="B46" s="0" t="s">
        <v>24</v>
      </c>
      <c r="C46" s="0" t="str">
        <f aca="false">"257-268"</f>
        <v>257-268</v>
      </c>
      <c r="D46" s="0" t="s">
        <v>70</v>
      </c>
      <c r="E46" s="0" t="str">
        <f aca="false">"85-96"</f>
        <v>85-96</v>
      </c>
      <c r="F46" s="0" t="s">
        <v>2537</v>
      </c>
      <c r="G46" s="0" t="s">
        <v>9</v>
      </c>
      <c r="H46" s="0" t="str">
        <f aca="false">"249-260"</f>
        <v>249-260</v>
      </c>
      <c r="I46" s="0" t="s">
        <v>9</v>
      </c>
      <c r="J46" s="0" t="str">
        <f aca="false">"294-305"</f>
        <v>294-305</v>
      </c>
      <c r="K46" s="0" t="str">
        <f aca="false">"1.15"</f>
        <v>1.15</v>
      </c>
      <c r="L46" s="0" t="str">
        <f aca="false">"10.24"</f>
        <v>10.24</v>
      </c>
      <c r="M46" s="0" t="str">
        <f aca="false">"-56.3"</f>
        <v>-56.3</v>
      </c>
    </row>
    <row r="47" customFormat="false" ht="12.8" hidden="false" customHeight="false" outlineLevel="0" collapsed="false">
      <c r="A47" s="0" t="s">
        <v>2493</v>
      </c>
      <c r="B47" s="0" t="s">
        <v>24</v>
      </c>
      <c r="C47" s="0" t="str">
        <f aca="false">"257-268"</f>
        <v>257-268</v>
      </c>
      <c r="D47" s="0" t="s">
        <v>70</v>
      </c>
      <c r="E47" s="0" t="str">
        <f aca="false">"83-94"</f>
        <v>83-94</v>
      </c>
      <c r="F47" s="0" t="s">
        <v>2538</v>
      </c>
      <c r="G47" s="0" t="s">
        <v>9</v>
      </c>
      <c r="H47" s="0" t="str">
        <f aca="false">"58-69"</f>
        <v>58-69</v>
      </c>
      <c r="I47" s="0" t="s">
        <v>9</v>
      </c>
      <c r="J47" s="0" t="str">
        <f aca="false">"16-27"</f>
        <v>16-27</v>
      </c>
      <c r="K47" s="0" t="str">
        <f aca="false">"1.20"</f>
        <v>1.20</v>
      </c>
      <c r="L47" s="0" t="str">
        <f aca="false">"13.11"</f>
        <v>13.11</v>
      </c>
      <c r="M47" s="0" t="str">
        <f aca="false">"-56.3"</f>
        <v>-56.3</v>
      </c>
    </row>
    <row r="48" customFormat="false" ht="12.8" hidden="false" customHeight="false" outlineLevel="0" collapsed="false">
      <c r="A48" s="0" t="s">
        <v>2493</v>
      </c>
      <c r="B48" s="0" t="s">
        <v>24</v>
      </c>
      <c r="C48" s="0" t="str">
        <f aca="false">"261-272"</f>
        <v>261-272</v>
      </c>
      <c r="D48" s="0" t="s">
        <v>70</v>
      </c>
      <c r="E48" s="0" t="str">
        <f aca="false">"86-97"</f>
        <v>86-97</v>
      </c>
      <c r="F48" s="0" t="s">
        <v>2539</v>
      </c>
      <c r="G48" s="0" t="s">
        <v>9</v>
      </c>
      <c r="H48" s="0" t="str">
        <f aca="false">"108-119"</f>
        <v>108-119</v>
      </c>
      <c r="I48" s="0" t="s">
        <v>9</v>
      </c>
      <c r="J48" s="0" t="str">
        <f aca="false">"145-156"</f>
        <v>145-156</v>
      </c>
      <c r="K48" s="0" t="str">
        <f aca="false">"0.91"</f>
        <v>0.91</v>
      </c>
      <c r="L48" s="0" t="str">
        <f aca="false">"10.92"</f>
        <v>10.92</v>
      </c>
      <c r="M48" s="0" t="str">
        <f aca="false">"-45.1"</f>
        <v>-45.1</v>
      </c>
    </row>
    <row r="49" customFormat="false" ht="12.8" hidden="false" customHeight="false" outlineLevel="0" collapsed="false">
      <c r="A49" s="0" t="s">
        <v>2493</v>
      </c>
      <c r="B49" s="0" t="s">
        <v>24</v>
      </c>
      <c r="C49" s="0" t="str">
        <f aca="false">"266-277"</f>
        <v>266-277</v>
      </c>
      <c r="D49" s="0" t="s">
        <v>70</v>
      </c>
      <c r="E49" s="0" t="str">
        <f aca="false">"86-97"</f>
        <v>86-97</v>
      </c>
      <c r="F49" s="0" t="s">
        <v>2540</v>
      </c>
      <c r="G49" s="0" t="s">
        <v>9</v>
      </c>
      <c r="H49" s="0" t="str">
        <f aca="false">"366-377"</f>
        <v>366-377</v>
      </c>
      <c r="I49" s="0" t="s">
        <v>9</v>
      </c>
      <c r="J49" s="0" t="str">
        <f aca="false">"405-416"</f>
        <v>405-416</v>
      </c>
      <c r="K49" s="0" t="str">
        <f aca="false">"0.95"</f>
        <v>0.95</v>
      </c>
      <c r="L49" s="0" t="str">
        <f aca="false">"11.54"</f>
        <v>11.54</v>
      </c>
      <c r="M49" s="0" t="str">
        <f aca="false">"-60.4"</f>
        <v>-60.4</v>
      </c>
    </row>
    <row r="50" customFormat="false" ht="12.8" hidden="false" customHeight="false" outlineLevel="0" collapsed="false">
      <c r="A50" s="0" t="s">
        <v>2493</v>
      </c>
      <c r="B50" s="0" t="s">
        <v>24</v>
      </c>
      <c r="C50" s="0" t="str">
        <f aca="false">"266-277"</f>
        <v>266-277</v>
      </c>
      <c r="D50" s="0" t="s">
        <v>70</v>
      </c>
      <c r="E50" s="0" t="str">
        <f aca="false">"85-96"</f>
        <v>85-96</v>
      </c>
      <c r="F50" s="0" t="s">
        <v>2541</v>
      </c>
      <c r="G50" s="0" t="s">
        <v>9</v>
      </c>
      <c r="H50" s="0" t="str">
        <f aca="false">"108-119"</f>
        <v>108-119</v>
      </c>
      <c r="I50" s="0" t="s">
        <v>9</v>
      </c>
      <c r="J50" s="0" t="str">
        <f aca="false">"12-23"</f>
        <v>12-23</v>
      </c>
      <c r="K50" s="0" t="str">
        <f aca="false">"0.76"</f>
        <v>0.76</v>
      </c>
      <c r="L50" s="0" t="str">
        <f aca="false">"12.90"</f>
        <v>12.90</v>
      </c>
      <c r="M50" s="0" t="str">
        <f aca="false">"-60.3"</f>
        <v>-60.3</v>
      </c>
    </row>
    <row r="51" customFormat="false" ht="12.8" hidden="false" customHeight="false" outlineLevel="0" collapsed="false">
      <c r="A51" s="0" t="s">
        <v>2493</v>
      </c>
      <c r="B51" s="0" t="s">
        <v>24</v>
      </c>
      <c r="C51" s="0" t="str">
        <f aca="false">"259-270"</f>
        <v>259-270</v>
      </c>
      <c r="D51" s="0" t="s">
        <v>70</v>
      </c>
      <c r="E51" s="0" t="str">
        <f aca="false">"87-98"</f>
        <v>87-98</v>
      </c>
      <c r="F51" s="0" t="s">
        <v>2542</v>
      </c>
      <c r="G51" s="0" t="s">
        <v>24</v>
      </c>
      <c r="H51" s="0" t="str">
        <f aca="false">"375-386"</f>
        <v>375-386</v>
      </c>
      <c r="I51" s="0" t="s">
        <v>24</v>
      </c>
      <c r="J51" s="0" t="str">
        <f aca="false">"487-498"</f>
        <v>487-498</v>
      </c>
      <c r="K51" s="0" t="str">
        <f aca="false">"1.11"</f>
        <v>1.11</v>
      </c>
      <c r="L51" s="0" t="str">
        <f aca="false">"11.96"</f>
        <v>11.96</v>
      </c>
      <c r="M51" s="0" t="str">
        <f aca="false">"-65.3"</f>
        <v>-65.3</v>
      </c>
    </row>
    <row r="52" customFormat="false" ht="12.8" hidden="false" customHeight="false" outlineLevel="0" collapsed="false">
      <c r="A52" s="0" t="s">
        <v>2493</v>
      </c>
      <c r="B52" s="0" t="s">
        <v>24</v>
      </c>
      <c r="C52" s="0" t="str">
        <f aca="false">"265-276"</f>
        <v>265-276</v>
      </c>
      <c r="D52" s="0" t="s">
        <v>70</v>
      </c>
      <c r="E52" s="0" t="str">
        <f aca="false">"86-97"</f>
        <v>86-97</v>
      </c>
      <c r="F52" s="0" t="s">
        <v>2543</v>
      </c>
      <c r="G52" s="0" t="s">
        <v>71</v>
      </c>
      <c r="H52" s="0" t="str">
        <f aca="false">"162-173"</f>
        <v>162-173</v>
      </c>
      <c r="I52" s="0" t="s">
        <v>71</v>
      </c>
      <c r="J52" s="0" t="str">
        <f aca="false">"192-203"</f>
        <v>192-203</v>
      </c>
      <c r="K52" s="0" t="str">
        <f aca="false">"0.70"</f>
        <v>0.70</v>
      </c>
      <c r="L52" s="0" t="str">
        <f aca="false">"12.34"</f>
        <v>12.34</v>
      </c>
      <c r="M52" s="0" t="str">
        <f aca="false">"-45.1"</f>
        <v>-45.1</v>
      </c>
    </row>
    <row r="53" customFormat="false" ht="12.8" hidden="false" customHeight="false" outlineLevel="0" collapsed="false">
      <c r="A53" s="0" t="s">
        <v>2493</v>
      </c>
      <c r="B53" s="0" t="s">
        <v>24</v>
      </c>
      <c r="C53" s="0" t="str">
        <f aca="false">"266-277"</f>
        <v>266-277</v>
      </c>
      <c r="D53" s="0" t="s">
        <v>70</v>
      </c>
      <c r="E53" s="0" t="str">
        <f aca="false">"83-94"</f>
        <v>83-94</v>
      </c>
      <c r="F53" s="0" t="s">
        <v>2544</v>
      </c>
      <c r="G53" s="0" t="s">
        <v>9</v>
      </c>
      <c r="H53" s="0" t="str">
        <f aca="false">"165-176"</f>
        <v>165-176</v>
      </c>
      <c r="I53" s="0" t="s">
        <v>9</v>
      </c>
      <c r="J53" s="0" t="str">
        <f aca="false">"198-209"</f>
        <v>198-209</v>
      </c>
      <c r="K53" s="0" t="str">
        <f aca="false">"0.84"</f>
        <v>0.84</v>
      </c>
      <c r="L53" s="0" t="str">
        <f aca="false">"14.95"</f>
        <v>14.95</v>
      </c>
      <c r="M53" s="0" t="str">
        <f aca="false">"-44.8"</f>
        <v>-44.8</v>
      </c>
    </row>
    <row r="54" customFormat="false" ht="12.8" hidden="false" customHeight="false" outlineLevel="0" collapsed="false">
      <c r="A54" s="0" t="s">
        <v>2493</v>
      </c>
      <c r="B54" s="0" t="s">
        <v>24</v>
      </c>
      <c r="C54" s="0" t="str">
        <f aca="false">"266-277"</f>
        <v>266-277</v>
      </c>
      <c r="D54" s="0" t="s">
        <v>70</v>
      </c>
      <c r="E54" s="0" t="str">
        <f aca="false">"83-94"</f>
        <v>83-94</v>
      </c>
      <c r="F54" s="0" t="s">
        <v>2545</v>
      </c>
      <c r="G54" s="0" t="s">
        <v>9</v>
      </c>
      <c r="H54" s="0" t="str">
        <f aca="false">"119-130"</f>
        <v>119-130</v>
      </c>
      <c r="I54" s="0" t="s">
        <v>13</v>
      </c>
      <c r="J54" s="0" t="str">
        <f aca="false">"23-34"</f>
        <v>23-34</v>
      </c>
      <c r="K54" s="0" t="str">
        <f aca="false">"0.79"</f>
        <v>0.79</v>
      </c>
      <c r="L54" s="0" t="str">
        <f aca="false">"14.30"</f>
        <v>14.30</v>
      </c>
      <c r="M54" s="0" t="str">
        <f aca="false">"-45.7"</f>
        <v>-45.7</v>
      </c>
    </row>
    <row r="55" customFormat="false" ht="12.8" hidden="false" customHeight="false" outlineLevel="0" collapsed="false">
      <c r="A55" s="0" t="s">
        <v>2493</v>
      </c>
      <c r="B55" s="0" t="s">
        <v>24</v>
      </c>
      <c r="C55" s="0" t="str">
        <f aca="false">"263-274"</f>
        <v>263-274</v>
      </c>
      <c r="D55" s="0" t="s">
        <v>70</v>
      </c>
      <c r="E55" s="0" t="str">
        <f aca="false">"83-94"</f>
        <v>83-94</v>
      </c>
      <c r="F55" s="0" t="s">
        <v>2546</v>
      </c>
      <c r="G55" s="0" t="s">
        <v>9</v>
      </c>
      <c r="H55" s="0" t="str">
        <f aca="false">"196-207"</f>
        <v>196-207</v>
      </c>
      <c r="I55" s="0" t="s">
        <v>9</v>
      </c>
      <c r="J55" s="0" t="str">
        <f aca="false">"226-237"</f>
        <v>226-237</v>
      </c>
      <c r="K55" s="0" t="str">
        <f aca="false">"1.24"</f>
        <v>1.24</v>
      </c>
      <c r="L55" s="0" t="str">
        <f aca="false">"13.58"</f>
        <v>13.58</v>
      </c>
      <c r="M55" s="0" t="str">
        <f aca="false">"-51.5"</f>
        <v>-51.5</v>
      </c>
    </row>
    <row r="56" customFormat="false" ht="12.8" hidden="false" customHeight="false" outlineLevel="0" collapsed="false">
      <c r="A56" s="0" t="s">
        <v>2493</v>
      </c>
      <c r="B56" s="0" t="s">
        <v>24</v>
      </c>
      <c r="C56" s="0" t="str">
        <f aca="false">"262-273"</f>
        <v>262-273</v>
      </c>
      <c r="D56" s="0" t="s">
        <v>70</v>
      </c>
      <c r="E56" s="0" t="str">
        <f aca="false">"83-94"</f>
        <v>83-94</v>
      </c>
      <c r="F56" s="0" t="s">
        <v>2547</v>
      </c>
      <c r="G56" s="0" t="s">
        <v>9</v>
      </c>
      <c r="H56" s="0" t="str">
        <f aca="false">"15-26"</f>
        <v>15-26</v>
      </c>
      <c r="I56" s="0" t="s">
        <v>9</v>
      </c>
      <c r="J56" s="0" t="str">
        <f aca="false">"149-160"</f>
        <v>149-160</v>
      </c>
      <c r="K56" s="0" t="str">
        <f aca="false">"1.22"</f>
        <v>1.22</v>
      </c>
      <c r="L56" s="0" t="str">
        <f aca="false">"12.86"</f>
        <v>12.86</v>
      </c>
      <c r="M56" s="0" t="str">
        <f aca="false">"-63.6"</f>
        <v>-63.6</v>
      </c>
    </row>
    <row r="57" customFormat="false" ht="12.8" hidden="false" customHeight="false" outlineLevel="0" collapsed="false">
      <c r="A57" s="0" t="s">
        <v>2493</v>
      </c>
      <c r="B57" s="0" t="s">
        <v>24</v>
      </c>
      <c r="C57" s="0" t="str">
        <f aca="false">"259-270"</f>
        <v>259-270</v>
      </c>
      <c r="D57" s="0" t="s">
        <v>70</v>
      </c>
      <c r="E57" s="0" t="str">
        <f aca="false">"82-93"</f>
        <v>82-93</v>
      </c>
      <c r="F57" s="0" t="s">
        <v>2548</v>
      </c>
      <c r="G57" s="0" t="s">
        <v>9</v>
      </c>
      <c r="H57" s="0" t="str">
        <f aca="false">"302-313"</f>
        <v>302-313</v>
      </c>
      <c r="I57" s="0" t="s">
        <v>9</v>
      </c>
      <c r="J57" s="0" t="str">
        <f aca="false">"234-245"</f>
        <v>234-245</v>
      </c>
      <c r="K57" s="0" t="str">
        <f aca="false">"1.22"</f>
        <v>1.22</v>
      </c>
      <c r="L57" s="0" t="str">
        <f aca="false">"12.69"</f>
        <v>12.69</v>
      </c>
      <c r="M57" s="0" t="str">
        <f aca="false">"-47.2"</f>
        <v>-47.2</v>
      </c>
    </row>
    <row r="58" customFormat="false" ht="12.8" hidden="false" customHeight="false" outlineLevel="0" collapsed="false">
      <c r="A58" s="0" t="s">
        <v>2493</v>
      </c>
      <c r="B58" s="0" t="s">
        <v>24</v>
      </c>
      <c r="C58" s="0" t="str">
        <f aca="false">"256-267"</f>
        <v>256-267</v>
      </c>
      <c r="D58" s="0" t="s">
        <v>70</v>
      </c>
      <c r="E58" s="0" t="str">
        <f aca="false">"83-94"</f>
        <v>83-94</v>
      </c>
      <c r="F58" s="0" t="s">
        <v>2549</v>
      </c>
      <c r="G58" s="0" t="s">
        <v>9</v>
      </c>
      <c r="H58" s="0" t="str">
        <f aca="false">"90-101"</f>
        <v>90-101</v>
      </c>
      <c r="I58" s="0" t="s">
        <v>13</v>
      </c>
      <c r="J58" s="0" t="str">
        <f aca="false">"90-101"</f>
        <v>90-101</v>
      </c>
      <c r="K58" s="0" t="str">
        <f aca="false">"1.13"</f>
        <v>1.13</v>
      </c>
      <c r="L58" s="0" t="str">
        <f aca="false">"13.17"</f>
        <v>13.17</v>
      </c>
      <c r="M58" s="0" t="str">
        <f aca="false">"-38.3"</f>
        <v>-38.3</v>
      </c>
    </row>
    <row r="59" customFormat="false" ht="12.8" hidden="false" customHeight="false" outlineLevel="0" collapsed="false">
      <c r="A59" s="0" t="s">
        <v>2493</v>
      </c>
      <c r="B59" s="0" t="s">
        <v>24</v>
      </c>
      <c r="C59" s="0" t="str">
        <f aca="false">"256-267"</f>
        <v>256-267</v>
      </c>
      <c r="D59" s="0" t="s">
        <v>70</v>
      </c>
      <c r="E59" s="0" t="str">
        <f aca="false">"87-98"</f>
        <v>87-98</v>
      </c>
      <c r="F59" s="0" t="s">
        <v>2550</v>
      </c>
      <c r="G59" s="0" t="s">
        <v>13</v>
      </c>
      <c r="H59" s="0" t="str">
        <f aca="false">"242-253"</f>
        <v>242-253</v>
      </c>
      <c r="I59" s="0" t="s">
        <v>13</v>
      </c>
      <c r="J59" s="0" t="str">
        <f aca="false">"279-290"</f>
        <v>279-290</v>
      </c>
      <c r="K59" s="0" t="str">
        <f aca="false">"1.19"</f>
        <v>1.19</v>
      </c>
      <c r="L59" s="0" t="str">
        <f aca="false">"13.17"</f>
        <v>13.17</v>
      </c>
      <c r="M59" s="0" t="str">
        <f aca="false">"-54.5"</f>
        <v>-54.5</v>
      </c>
    </row>
    <row r="60" customFormat="false" ht="12.8" hidden="false" customHeight="false" outlineLevel="0" collapsed="false">
      <c r="A60" s="0" t="s">
        <v>2493</v>
      </c>
      <c r="B60" s="0" t="s">
        <v>24</v>
      </c>
      <c r="C60" s="0" t="str">
        <f aca="false">"256-267"</f>
        <v>256-267</v>
      </c>
      <c r="D60" s="0" t="s">
        <v>70</v>
      </c>
      <c r="E60" s="0" t="str">
        <f aca="false">"81-92"</f>
        <v>81-92</v>
      </c>
      <c r="F60" s="0" t="s">
        <v>2551</v>
      </c>
      <c r="G60" s="0" t="s">
        <v>13</v>
      </c>
      <c r="H60" s="0" t="str">
        <f aca="false">"26-37"</f>
        <v>26-37</v>
      </c>
      <c r="I60" s="0" t="s">
        <v>9</v>
      </c>
      <c r="J60" s="0" t="str">
        <f aca="false">"28-39"</f>
        <v>28-39</v>
      </c>
      <c r="K60" s="0" t="str">
        <f aca="false">"0.93"</f>
        <v>0.93</v>
      </c>
      <c r="L60" s="0" t="str">
        <f aca="false">"11.58"</f>
        <v>11.58</v>
      </c>
      <c r="M60" s="0" t="str">
        <f aca="false">"-44.7"</f>
        <v>-44.7</v>
      </c>
    </row>
    <row r="61" customFormat="false" ht="12.8" hidden="false" customHeight="false" outlineLevel="0" collapsed="false">
      <c r="A61" s="0" t="s">
        <v>2493</v>
      </c>
      <c r="B61" s="0" t="s">
        <v>24</v>
      </c>
      <c r="C61" s="0" t="str">
        <f aca="false">"264-275"</f>
        <v>264-275</v>
      </c>
      <c r="D61" s="0" t="s">
        <v>70</v>
      </c>
      <c r="E61" s="0" t="str">
        <f aca="false">"84-95"</f>
        <v>84-95</v>
      </c>
      <c r="F61" s="0" t="s">
        <v>2552</v>
      </c>
      <c r="G61" s="0" t="s">
        <v>9</v>
      </c>
      <c r="H61" s="0" t="str">
        <f aca="false">"38-49"</f>
        <v>38-49</v>
      </c>
      <c r="I61" s="0" t="s">
        <v>9</v>
      </c>
      <c r="J61" s="0" t="str">
        <f aca="false">"20-31"</f>
        <v>20-31</v>
      </c>
      <c r="K61" s="0" t="str">
        <f aca="false">"1.04"</f>
        <v>1.04</v>
      </c>
      <c r="L61" s="0" t="str">
        <f aca="false">"12.34"</f>
        <v>12.34</v>
      </c>
      <c r="M61" s="0" t="str">
        <f aca="false">"-47.5"</f>
        <v>-47.5</v>
      </c>
    </row>
    <row r="62" customFormat="false" ht="12.8" hidden="false" customHeight="false" outlineLevel="0" collapsed="false">
      <c r="A62" s="0" t="s">
        <v>2493</v>
      </c>
      <c r="B62" s="0" t="s">
        <v>24</v>
      </c>
      <c r="C62" s="0" t="str">
        <f aca="false">"259-270"</f>
        <v>259-270</v>
      </c>
      <c r="D62" s="0" t="s">
        <v>70</v>
      </c>
      <c r="E62" s="0" t="str">
        <f aca="false">"83-94"</f>
        <v>83-94</v>
      </c>
      <c r="F62" s="0" t="s">
        <v>2553</v>
      </c>
      <c r="G62" s="0" t="s">
        <v>9</v>
      </c>
      <c r="H62" s="0" t="str">
        <f aca="false">"355-366"</f>
        <v>355-366</v>
      </c>
      <c r="I62" s="0" t="s">
        <v>9</v>
      </c>
      <c r="J62" s="0" t="str">
        <f aca="false">"389-400"</f>
        <v>389-400</v>
      </c>
      <c r="K62" s="0" t="str">
        <f aca="false">"1.14"</f>
        <v>1.14</v>
      </c>
      <c r="L62" s="0" t="str">
        <f aca="false">"11.79"</f>
        <v>11.79</v>
      </c>
      <c r="M62" s="0" t="str">
        <f aca="false">"-49.6"</f>
        <v>-49.6</v>
      </c>
    </row>
    <row r="63" customFormat="false" ht="12.8" hidden="false" customHeight="false" outlineLevel="0" collapsed="false">
      <c r="A63" s="0" t="s">
        <v>2493</v>
      </c>
      <c r="B63" s="0" t="s">
        <v>24</v>
      </c>
      <c r="C63" s="0" t="str">
        <f aca="false">"266-277"</f>
        <v>266-277</v>
      </c>
      <c r="D63" s="0" t="s">
        <v>70</v>
      </c>
      <c r="E63" s="0" t="str">
        <f aca="false">"87-98"</f>
        <v>87-98</v>
      </c>
      <c r="F63" s="0" t="s">
        <v>2554</v>
      </c>
      <c r="G63" s="0" t="s">
        <v>9</v>
      </c>
      <c r="H63" s="0" t="str">
        <f aca="false">"254-265"</f>
        <v>254-265</v>
      </c>
      <c r="I63" s="0" t="s">
        <v>9</v>
      </c>
      <c r="J63" s="0" t="str">
        <f aca="false">"346-357"</f>
        <v>346-357</v>
      </c>
      <c r="K63" s="0" t="str">
        <f aca="false">"1.19"</f>
        <v>1.19</v>
      </c>
      <c r="L63" s="0" t="str">
        <f aca="false">"12.40"</f>
        <v>12.40</v>
      </c>
      <c r="M63" s="0" t="str">
        <f aca="false">"-54.9"</f>
        <v>-54.9</v>
      </c>
    </row>
    <row r="64" customFormat="false" ht="12.8" hidden="false" customHeight="false" outlineLevel="0" collapsed="false">
      <c r="A64" s="0" t="s">
        <v>2493</v>
      </c>
      <c r="B64" s="0" t="s">
        <v>24</v>
      </c>
      <c r="C64" s="0" t="str">
        <f aca="false">"263-274"</f>
        <v>263-274</v>
      </c>
      <c r="D64" s="0" t="s">
        <v>70</v>
      </c>
      <c r="E64" s="0" t="str">
        <f aca="false">"86-97"</f>
        <v>86-97</v>
      </c>
      <c r="F64" s="0" t="s">
        <v>2555</v>
      </c>
      <c r="G64" s="0" t="s">
        <v>9</v>
      </c>
      <c r="H64" s="0" t="str">
        <f aca="false">"4-15"</f>
        <v>4-15</v>
      </c>
      <c r="I64" s="0" t="s">
        <v>9</v>
      </c>
      <c r="J64" s="0" t="str">
        <f aca="false">"85-96"</f>
        <v>85-96</v>
      </c>
      <c r="K64" s="0" t="str">
        <f aca="false">"1.23"</f>
        <v>1.23</v>
      </c>
      <c r="L64" s="0" t="str">
        <f aca="false">"11.05"</f>
        <v>11.05</v>
      </c>
      <c r="M64" s="0" t="str">
        <f aca="false">"-44.0"</f>
        <v>-44.0</v>
      </c>
    </row>
    <row r="65" customFormat="false" ht="12.8" hidden="false" customHeight="false" outlineLevel="0" collapsed="false">
      <c r="A65" s="0" t="s">
        <v>2493</v>
      </c>
      <c r="B65" s="0" t="s">
        <v>24</v>
      </c>
      <c r="C65" s="0" t="str">
        <f aca="false">"263-274"</f>
        <v>263-274</v>
      </c>
      <c r="D65" s="0" t="s">
        <v>70</v>
      </c>
      <c r="E65" s="0" t="str">
        <f aca="false">"85-96"</f>
        <v>85-96</v>
      </c>
      <c r="F65" s="0" t="s">
        <v>2556</v>
      </c>
      <c r="G65" s="0" t="s">
        <v>9</v>
      </c>
      <c r="H65" s="0" t="str">
        <f aca="false">"241-252"</f>
        <v>241-252</v>
      </c>
      <c r="I65" s="0" t="s">
        <v>9</v>
      </c>
      <c r="J65" s="0" t="str">
        <f aca="false">"180-191"</f>
        <v>180-191</v>
      </c>
      <c r="K65" s="0" t="str">
        <f aca="false">"1.04"</f>
        <v>1.04</v>
      </c>
      <c r="L65" s="0" t="str">
        <f aca="false">"11.81"</f>
        <v>11.81</v>
      </c>
      <c r="M65" s="0" t="str">
        <f aca="false">"-51.3"</f>
        <v>-51.3</v>
      </c>
    </row>
    <row r="66" customFormat="false" ht="12.8" hidden="false" customHeight="false" outlineLevel="0" collapsed="false">
      <c r="A66" s="0" t="s">
        <v>2493</v>
      </c>
      <c r="B66" s="0" t="s">
        <v>24</v>
      </c>
      <c r="C66" s="0" t="str">
        <f aca="false">"259-270"</f>
        <v>259-270</v>
      </c>
      <c r="D66" s="0" t="s">
        <v>70</v>
      </c>
      <c r="E66" s="0" t="str">
        <f aca="false">"83-94"</f>
        <v>83-94</v>
      </c>
      <c r="F66" s="0" t="s">
        <v>2557</v>
      </c>
      <c r="G66" s="0" t="s">
        <v>9</v>
      </c>
      <c r="H66" s="0" t="str">
        <f aca="false">"201-212"</f>
        <v>201-212</v>
      </c>
      <c r="I66" s="0" t="s">
        <v>9</v>
      </c>
      <c r="J66" s="0" t="str">
        <f aca="false">"230-241"</f>
        <v>230-241</v>
      </c>
      <c r="K66" s="0" t="str">
        <f aca="false">"1.03"</f>
        <v>1.03</v>
      </c>
      <c r="L66" s="0" t="str">
        <f aca="false">"11.82"</f>
        <v>11.82</v>
      </c>
      <c r="M66" s="0" t="str">
        <f aca="false">"-41.9"</f>
        <v>-41.9</v>
      </c>
    </row>
    <row r="67" customFormat="false" ht="12.8" hidden="false" customHeight="false" outlineLevel="0" collapsed="false">
      <c r="A67" s="0" t="s">
        <v>2493</v>
      </c>
      <c r="B67" s="0" t="s">
        <v>24</v>
      </c>
      <c r="C67" s="0" t="str">
        <f aca="false">"265-276"</f>
        <v>265-276</v>
      </c>
      <c r="D67" s="0" t="s">
        <v>70</v>
      </c>
      <c r="E67" s="0" t="str">
        <f aca="false">"86-97"</f>
        <v>86-97</v>
      </c>
      <c r="F67" s="0" t="s">
        <v>2558</v>
      </c>
      <c r="G67" s="0" t="s">
        <v>9</v>
      </c>
      <c r="H67" s="0" t="str">
        <f aca="false">"381-392"</f>
        <v>381-392</v>
      </c>
      <c r="I67" s="0" t="s">
        <v>9</v>
      </c>
      <c r="J67" s="0" t="str">
        <f aca="false">"314-325"</f>
        <v>314-325</v>
      </c>
      <c r="K67" s="0" t="str">
        <f aca="false">"1.18"</f>
        <v>1.18</v>
      </c>
      <c r="L67" s="0" t="str">
        <f aca="false">"12.79"</f>
        <v>12.79</v>
      </c>
      <c r="M67" s="0" t="str">
        <f aca="false">"-48.0"</f>
        <v>-48.0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80102040816327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5561224489796"/>
    <col collapsed="false" hidden="false" max="7" min="7" style="0" width="6.95408163265306"/>
    <col collapsed="false" hidden="false" max="8" min="8" style="0" width="7.76530612244898"/>
    <col collapsed="false" hidden="false" max="9" min="9" style="0" width="6.95408163265306"/>
    <col collapsed="false" hidden="false" max="10" min="10" style="0" width="7.76530612244898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2559</v>
      </c>
      <c r="B2" s="0" t="s">
        <v>9</v>
      </c>
      <c r="C2" s="0" t="str">
        <f aca="false">"238-249"</f>
        <v>238-249</v>
      </c>
      <c r="D2" s="0" t="s">
        <v>9</v>
      </c>
      <c r="E2" s="0" t="str">
        <f aca="false">"285-296"</f>
        <v>285-296</v>
      </c>
      <c r="F2" s="0" t="s">
        <v>2560</v>
      </c>
      <c r="G2" s="0" t="s">
        <v>9</v>
      </c>
      <c r="H2" s="0" t="str">
        <f aca="false">"117-128"</f>
        <v>117-128</v>
      </c>
      <c r="I2" s="0" t="s">
        <v>9</v>
      </c>
      <c r="J2" s="0" t="str">
        <f aca="false">"175-186"</f>
        <v>175-186</v>
      </c>
      <c r="K2" s="0" t="str">
        <f aca="false">"1.05"</f>
        <v>1.05</v>
      </c>
      <c r="L2" s="0" t="str">
        <f aca="false">"10.88"</f>
        <v>10.88</v>
      </c>
      <c r="M2" s="0" t="str">
        <f aca="false">"122.9"</f>
        <v>122.9</v>
      </c>
    </row>
    <row r="3" customFormat="false" ht="12.8" hidden="false" customHeight="false" outlineLevel="0" collapsed="false">
      <c r="A3" s="0" t="s">
        <v>2559</v>
      </c>
      <c r="B3" s="0" t="s">
        <v>9</v>
      </c>
      <c r="C3" s="0" t="str">
        <f aca="false">"238-249"</f>
        <v>238-249</v>
      </c>
      <c r="D3" s="0" t="s">
        <v>9</v>
      </c>
      <c r="E3" s="0" t="str">
        <f aca="false">"285-296"</f>
        <v>285-296</v>
      </c>
      <c r="F3" s="0" t="s">
        <v>2561</v>
      </c>
      <c r="G3" s="0" t="s">
        <v>13</v>
      </c>
      <c r="H3" s="0" t="str">
        <f aca="false">"417-428"</f>
        <v>417-428</v>
      </c>
      <c r="I3" s="0" t="s">
        <v>13</v>
      </c>
      <c r="J3" s="0" t="str">
        <f aca="false">"475-486"</f>
        <v>475-486</v>
      </c>
      <c r="K3" s="0" t="str">
        <f aca="false">"1.05"</f>
        <v>1.05</v>
      </c>
      <c r="L3" s="0" t="str">
        <f aca="false">"10.92"</f>
        <v>10.92</v>
      </c>
      <c r="M3" s="0" t="str">
        <f aca="false">"122.2"</f>
        <v>122.2</v>
      </c>
    </row>
    <row r="4" customFormat="false" ht="12.8" hidden="false" customHeight="false" outlineLevel="0" collapsed="false">
      <c r="A4" s="0" t="s">
        <v>2559</v>
      </c>
      <c r="B4" s="0" t="s">
        <v>9</v>
      </c>
      <c r="C4" s="0" t="str">
        <f aca="false">"238-249"</f>
        <v>238-249</v>
      </c>
      <c r="D4" s="0" t="s">
        <v>9</v>
      </c>
      <c r="E4" s="0" t="str">
        <f aca="false">"285-296"</f>
        <v>285-296</v>
      </c>
      <c r="F4" s="0" t="s">
        <v>2562</v>
      </c>
      <c r="G4" s="0" t="s">
        <v>9</v>
      </c>
      <c r="H4" s="0" t="str">
        <f aca="false">"209-220"</f>
        <v>209-220</v>
      </c>
      <c r="I4" s="0" t="s">
        <v>9</v>
      </c>
      <c r="J4" s="0" t="str">
        <f aca="false">"251-262"</f>
        <v>251-262</v>
      </c>
      <c r="K4" s="0" t="str">
        <f aca="false">"1.11"</f>
        <v>1.11</v>
      </c>
      <c r="L4" s="0" t="str">
        <f aca="false">"9.98"</f>
        <v>9.98</v>
      </c>
      <c r="M4" s="0" t="str">
        <f aca="false">"116.5"</f>
        <v>116.5</v>
      </c>
    </row>
    <row r="5" customFormat="false" ht="12.8" hidden="false" customHeight="false" outlineLevel="0" collapsed="false">
      <c r="A5" s="0" t="s">
        <v>2559</v>
      </c>
      <c r="B5" s="0" t="s">
        <v>9</v>
      </c>
      <c r="C5" s="0" t="str">
        <f aca="false">"238-249"</f>
        <v>238-249</v>
      </c>
      <c r="D5" s="0" t="s">
        <v>9</v>
      </c>
      <c r="E5" s="0" t="str">
        <f aca="false">"282-293"</f>
        <v>282-293</v>
      </c>
      <c r="F5" s="0" t="s">
        <v>2563</v>
      </c>
      <c r="G5" s="0" t="s">
        <v>13</v>
      </c>
      <c r="H5" s="0" t="str">
        <f aca="false">"268-279"</f>
        <v>268-279</v>
      </c>
      <c r="I5" s="0" t="s">
        <v>13</v>
      </c>
      <c r="J5" s="0" t="str">
        <f aca="false">"302-313"</f>
        <v>302-313</v>
      </c>
      <c r="K5" s="0" t="str">
        <f aca="false">"1.08"</f>
        <v>1.08</v>
      </c>
      <c r="L5" s="0" t="str">
        <f aca="false">"11.27"</f>
        <v>11.27</v>
      </c>
      <c r="M5" s="0" t="str">
        <f aca="false">"114.8"</f>
        <v>114.8</v>
      </c>
    </row>
    <row r="6" customFormat="false" ht="12.8" hidden="false" customHeight="false" outlineLevel="0" collapsed="false">
      <c r="A6" s="0" t="s">
        <v>2559</v>
      </c>
      <c r="B6" s="0" t="s">
        <v>9</v>
      </c>
      <c r="C6" s="0" t="str">
        <f aca="false">"238-249"</f>
        <v>238-249</v>
      </c>
      <c r="D6" s="0" t="s">
        <v>9</v>
      </c>
      <c r="E6" s="0" t="str">
        <f aca="false">"286-297"</f>
        <v>286-297</v>
      </c>
      <c r="F6" s="0" t="s">
        <v>2564</v>
      </c>
      <c r="G6" s="0" t="s">
        <v>120</v>
      </c>
      <c r="H6" s="0" t="str">
        <f aca="false">"34-45"</f>
        <v>34-45</v>
      </c>
      <c r="I6" s="0" t="s">
        <v>120</v>
      </c>
      <c r="J6" s="0" t="str">
        <f aca="false">"78-89"</f>
        <v>78-89</v>
      </c>
      <c r="K6" s="0" t="str">
        <f aca="false">"0.94"</f>
        <v>0.94</v>
      </c>
      <c r="L6" s="0" t="str">
        <f aca="false">"11.63"</f>
        <v>11.63</v>
      </c>
      <c r="M6" s="0" t="str">
        <f aca="false">"111.0"</f>
        <v>111.0</v>
      </c>
    </row>
    <row r="7" customFormat="false" ht="12.8" hidden="false" customHeight="false" outlineLevel="0" collapsed="false">
      <c r="A7" s="0" t="s">
        <v>2559</v>
      </c>
      <c r="B7" s="0" t="s">
        <v>9</v>
      </c>
      <c r="C7" s="0" t="str">
        <f aca="false">"238-249"</f>
        <v>238-249</v>
      </c>
      <c r="D7" s="0" t="s">
        <v>9</v>
      </c>
      <c r="E7" s="0" t="str">
        <f aca="false">"282-293"</f>
        <v>282-293</v>
      </c>
      <c r="F7" s="0" t="s">
        <v>2565</v>
      </c>
      <c r="G7" s="0" t="s">
        <v>9</v>
      </c>
      <c r="H7" s="0" t="str">
        <f aca="false">"844-855"</f>
        <v>844-855</v>
      </c>
      <c r="I7" s="0" t="s">
        <v>9</v>
      </c>
      <c r="J7" s="0" t="str">
        <f aca="false">"931-942"</f>
        <v>931-942</v>
      </c>
      <c r="K7" s="0" t="str">
        <f aca="false">"0.83"</f>
        <v>0.83</v>
      </c>
      <c r="L7" s="0" t="str">
        <f aca="false">"11.44"</f>
        <v>11.44</v>
      </c>
      <c r="M7" s="0" t="str">
        <f aca="false">"120.4"</f>
        <v>120.4</v>
      </c>
    </row>
    <row r="8" customFormat="false" ht="12.8" hidden="false" customHeight="false" outlineLevel="0" collapsed="false">
      <c r="A8" s="0" t="s">
        <v>2559</v>
      </c>
      <c r="B8" s="0" t="s">
        <v>9</v>
      </c>
      <c r="C8" s="0" t="str">
        <f aca="false">"237-248"</f>
        <v>237-248</v>
      </c>
      <c r="D8" s="0" t="s">
        <v>9</v>
      </c>
      <c r="E8" s="0" t="str">
        <f aca="false">"289-300"</f>
        <v>289-300</v>
      </c>
      <c r="F8" s="0" t="s">
        <v>2566</v>
      </c>
      <c r="G8" s="0" t="s">
        <v>120</v>
      </c>
      <c r="H8" s="0" t="str">
        <f aca="false">"324-335"</f>
        <v>324-335</v>
      </c>
      <c r="I8" s="0" t="s">
        <v>120</v>
      </c>
      <c r="J8" s="0" t="str">
        <f aca="false">"339-350"</f>
        <v>339-350</v>
      </c>
      <c r="K8" s="0" t="str">
        <f aca="false">"0.95"</f>
        <v>0.95</v>
      </c>
      <c r="L8" s="0" t="str">
        <f aca="false">"12.83"</f>
        <v>12.83</v>
      </c>
      <c r="M8" s="0" t="str">
        <f aca="false">"120.7"</f>
        <v>120.7</v>
      </c>
    </row>
    <row r="9" customFormat="false" ht="12.8" hidden="false" customHeight="false" outlineLevel="0" collapsed="false">
      <c r="A9" s="0" t="s">
        <v>2559</v>
      </c>
      <c r="B9" s="0" t="s">
        <v>9</v>
      </c>
      <c r="C9" s="0" t="str">
        <f aca="false">"238-249"</f>
        <v>238-249</v>
      </c>
      <c r="D9" s="0" t="s">
        <v>9</v>
      </c>
      <c r="E9" s="0" t="str">
        <f aca="false">"289-300"</f>
        <v>289-300</v>
      </c>
      <c r="F9" s="0" t="s">
        <v>2567</v>
      </c>
      <c r="G9" s="0" t="s">
        <v>9</v>
      </c>
      <c r="H9" s="0" t="str">
        <f aca="false">"131-142"</f>
        <v>131-142</v>
      </c>
      <c r="I9" s="0" t="s">
        <v>9</v>
      </c>
      <c r="J9" s="0" t="str">
        <f aca="false">"38-49"</f>
        <v>38-49</v>
      </c>
      <c r="K9" s="0" t="str">
        <f aca="false">"0.72"</f>
        <v>0.72</v>
      </c>
      <c r="L9" s="0" t="str">
        <f aca="false">"12.86"</f>
        <v>12.86</v>
      </c>
      <c r="M9" s="0" t="str">
        <f aca="false">"102.9"</f>
        <v>102.9</v>
      </c>
    </row>
    <row r="10" customFormat="false" ht="12.8" hidden="false" customHeight="false" outlineLevel="0" collapsed="false">
      <c r="A10" s="0" t="s">
        <v>2559</v>
      </c>
      <c r="B10" s="0" t="s">
        <v>9</v>
      </c>
      <c r="C10" s="0" t="str">
        <f aca="false">"237-248"</f>
        <v>237-248</v>
      </c>
      <c r="D10" s="0" t="s">
        <v>9</v>
      </c>
      <c r="E10" s="0" t="str">
        <f aca="false">"289-300"</f>
        <v>289-300</v>
      </c>
      <c r="F10" s="0" t="s">
        <v>2568</v>
      </c>
      <c r="G10" s="0" t="s">
        <v>9</v>
      </c>
      <c r="H10" s="0" t="str">
        <f aca="false">"323-334"</f>
        <v>323-334</v>
      </c>
      <c r="I10" s="0" t="s">
        <v>9</v>
      </c>
      <c r="J10" s="0" t="str">
        <f aca="false">"229-240"</f>
        <v>229-240</v>
      </c>
      <c r="K10" s="0" t="str">
        <f aca="false">"0.98"</f>
        <v>0.98</v>
      </c>
      <c r="L10" s="0" t="str">
        <f aca="false">"12.17"</f>
        <v>12.17</v>
      </c>
      <c r="M10" s="0" t="str">
        <f aca="false">"107.6"</f>
        <v>107.6</v>
      </c>
    </row>
    <row r="11" customFormat="false" ht="12.8" hidden="false" customHeight="false" outlineLevel="0" collapsed="false">
      <c r="A11" s="0" t="s">
        <v>2559</v>
      </c>
      <c r="B11" s="0" t="s">
        <v>9</v>
      </c>
      <c r="C11" s="0" t="str">
        <f aca="false">"237-248"</f>
        <v>237-248</v>
      </c>
      <c r="D11" s="0" t="s">
        <v>9</v>
      </c>
      <c r="E11" s="0" t="str">
        <f aca="false">"289-300"</f>
        <v>289-300</v>
      </c>
      <c r="F11" s="0" t="s">
        <v>2569</v>
      </c>
      <c r="G11" s="0" t="s">
        <v>9</v>
      </c>
      <c r="H11" s="0" t="str">
        <f aca="false">"39-50"</f>
        <v>39-50</v>
      </c>
      <c r="I11" s="0" t="s">
        <v>9</v>
      </c>
      <c r="J11" s="0" t="str">
        <f aca="false">"54-65"</f>
        <v>54-65</v>
      </c>
      <c r="K11" s="0" t="str">
        <f aca="false">"1.04"</f>
        <v>1.04</v>
      </c>
      <c r="L11" s="0" t="str">
        <f aca="false">"14.13"</f>
        <v>14.13</v>
      </c>
      <c r="M11" s="0" t="str">
        <f aca="false">"104.9"</f>
        <v>104.9</v>
      </c>
    </row>
    <row r="12" customFormat="false" ht="12.8" hidden="false" customHeight="false" outlineLevel="0" collapsed="false">
      <c r="A12" s="0" t="s">
        <v>2559</v>
      </c>
      <c r="B12" s="0" t="s">
        <v>9</v>
      </c>
      <c r="C12" s="0" t="str">
        <f aca="false">"238-249"</f>
        <v>238-249</v>
      </c>
      <c r="D12" s="0" t="s">
        <v>9</v>
      </c>
      <c r="E12" s="0" t="str">
        <f aca="false">"282-293"</f>
        <v>282-293</v>
      </c>
      <c r="F12" s="0" t="s">
        <v>2570</v>
      </c>
      <c r="G12" s="0" t="s">
        <v>9</v>
      </c>
      <c r="H12" s="0" t="str">
        <f aca="false">"202-213"</f>
        <v>202-213</v>
      </c>
      <c r="I12" s="0" t="s">
        <v>9</v>
      </c>
      <c r="J12" s="0" t="str">
        <f aca="false">"242-253"</f>
        <v>242-253</v>
      </c>
      <c r="K12" s="0" t="str">
        <f aca="false">"0.89"</f>
        <v>0.89</v>
      </c>
      <c r="L12" s="0" t="str">
        <f aca="false">"11.16"</f>
        <v>11.16</v>
      </c>
      <c r="M12" s="0" t="str">
        <f aca="false">"120.7"</f>
        <v>120.7</v>
      </c>
    </row>
    <row r="13" customFormat="false" ht="12.8" hidden="false" customHeight="false" outlineLevel="0" collapsed="false">
      <c r="A13" s="0" t="s">
        <v>2559</v>
      </c>
      <c r="B13" s="0" t="s">
        <v>9</v>
      </c>
      <c r="C13" s="0" t="str">
        <f aca="false">"238-249"</f>
        <v>238-249</v>
      </c>
      <c r="D13" s="0" t="s">
        <v>9</v>
      </c>
      <c r="E13" s="0" t="str">
        <f aca="false">"282-293"</f>
        <v>282-293</v>
      </c>
      <c r="F13" s="0" t="s">
        <v>2571</v>
      </c>
      <c r="G13" s="0" t="s">
        <v>9</v>
      </c>
      <c r="H13" s="0" t="str">
        <f aca="false">"284-295"</f>
        <v>284-295</v>
      </c>
      <c r="I13" s="0" t="s">
        <v>9</v>
      </c>
      <c r="J13" s="0" t="str">
        <f aca="false">"341-352"</f>
        <v>341-352</v>
      </c>
      <c r="K13" s="0" t="str">
        <f aca="false">"1.09"</f>
        <v>1.09</v>
      </c>
      <c r="L13" s="0" t="str">
        <f aca="false">"11.87"</f>
        <v>11.87</v>
      </c>
      <c r="M13" s="0" t="str">
        <f aca="false">"121.6"</f>
        <v>121.6</v>
      </c>
    </row>
    <row r="14" customFormat="false" ht="12.8" hidden="false" customHeight="false" outlineLevel="0" collapsed="false">
      <c r="A14" s="0" t="s">
        <v>2559</v>
      </c>
      <c r="B14" s="0" t="s">
        <v>9</v>
      </c>
      <c r="C14" s="0" t="str">
        <f aca="false">"238-249"</f>
        <v>238-249</v>
      </c>
      <c r="D14" s="0" t="s">
        <v>9</v>
      </c>
      <c r="E14" s="0" t="str">
        <f aca="false">"282-293"</f>
        <v>282-293</v>
      </c>
      <c r="F14" s="0" t="s">
        <v>2572</v>
      </c>
      <c r="G14" s="0" t="s">
        <v>9</v>
      </c>
      <c r="H14" s="0" t="str">
        <f aca="false">"385-396"</f>
        <v>385-396</v>
      </c>
      <c r="I14" s="0" t="s">
        <v>9</v>
      </c>
      <c r="J14" s="0" t="str">
        <f aca="false">"287-298"</f>
        <v>287-298</v>
      </c>
      <c r="K14" s="0" t="str">
        <f aca="false">"0.77"</f>
        <v>0.77</v>
      </c>
      <c r="L14" s="0" t="str">
        <f aca="false">"11.27"</f>
        <v>11.27</v>
      </c>
      <c r="M14" s="0" t="str">
        <f aca="false">"122.2"</f>
        <v>122.2</v>
      </c>
    </row>
    <row r="15" customFormat="false" ht="12.8" hidden="false" customHeight="false" outlineLevel="0" collapsed="false">
      <c r="A15" s="0" t="s">
        <v>2559</v>
      </c>
      <c r="B15" s="0" t="s">
        <v>9</v>
      </c>
      <c r="C15" s="0" t="str">
        <f aca="false">"239-250"</f>
        <v>239-250</v>
      </c>
      <c r="D15" s="0" t="s">
        <v>9</v>
      </c>
      <c r="E15" s="0" t="str">
        <f aca="false">"282-293"</f>
        <v>282-293</v>
      </c>
      <c r="F15" s="0" t="s">
        <v>2573</v>
      </c>
      <c r="G15" s="0" t="s">
        <v>120</v>
      </c>
      <c r="H15" s="0" t="str">
        <f aca="false">"418-429"</f>
        <v>418-429</v>
      </c>
      <c r="I15" s="0" t="s">
        <v>9</v>
      </c>
      <c r="J15" s="0" t="str">
        <f aca="false">"418-429"</f>
        <v>418-429</v>
      </c>
      <c r="K15" s="0" t="str">
        <f aca="false">"1.06"</f>
        <v>1.06</v>
      </c>
      <c r="L15" s="0" t="str">
        <f aca="false">"10.15"</f>
        <v>10.15</v>
      </c>
      <c r="M15" s="0" t="str">
        <f aca="false">"97.1"</f>
        <v>97.1</v>
      </c>
    </row>
    <row r="16" customFormat="false" ht="12.8" hidden="false" customHeight="false" outlineLevel="0" collapsed="false">
      <c r="A16" s="0" t="s">
        <v>2559</v>
      </c>
      <c r="B16" s="0" t="s">
        <v>9</v>
      </c>
      <c r="C16" s="0" t="str">
        <f aca="false">"235-246"</f>
        <v>235-246</v>
      </c>
      <c r="D16" s="0" t="s">
        <v>9</v>
      </c>
      <c r="E16" s="0" t="str">
        <f aca="false">"286-297"</f>
        <v>286-297</v>
      </c>
      <c r="F16" s="0" t="s">
        <v>2574</v>
      </c>
      <c r="G16" s="0" t="s">
        <v>9</v>
      </c>
      <c r="H16" s="0" t="str">
        <f aca="false">"523-534"</f>
        <v>523-534</v>
      </c>
      <c r="I16" s="0" t="s">
        <v>9</v>
      </c>
      <c r="J16" s="0" t="str">
        <f aca="false">"469-480"</f>
        <v>469-480</v>
      </c>
      <c r="K16" s="0" t="str">
        <f aca="false">"0.92"</f>
        <v>0.92</v>
      </c>
      <c r="L16" s="0" t="str">
        <f aca="false">"11.27"</f>
        <v>11.27</v>
      </c>
      <c r="M16" s="0" t="str">
        <f aca="false">"116.2"</f>
        <v>116.2</v>
      </c>
    </row>
    <row r="17" customFormat="false" ht="12.8" hidden="false" customHeight="false" outlineLevel="0" collapsed="false">
      <c r="A17" s="0" t="s">
        <v>2559</v>
      </c>
      <c r="B17" s="0" t="s">
        <v>9</v>
      </c>
      <c r="C17" s="0" t="str">
        <f aca="false">"234-245"</f>
        <v>234-245</v>
      </c>
      <c r="D17" s="0" t="s">
        <v>9</v>
      </c>
      <c r="E17" s="0" t="str">
        <f aca="false">"282-293"</f>
        <v>282-293</v>
      </c>
      <c r="F17" s="0" t="s">
        <v>2575</v>
      </c>
      <c r="G17" s="0" t="s">
        <v>9</v>
      </c>
      <c r="H17" s="0" t="str">
        <f aca="false">"89-100"</f>
        <v>89-100</v>
      </c>
      <c r="I17" s="0" t="s">
        <v>13</v>
      </c>
      <c r="J17" s="0" t="str">
        <f aca="false">"94-105"</f>
        <v>94-105</v>
      </c>
      <c r="K17" s="0" t="str">
        <f aca="false">"1.03"</f>
        <v>1.03</v>
      </c>
      <c r="L17" s="0" t="str">
        <f aca="false">"12.86"</f>
        <v>12.86</v>
      </c>
      <c r="M17" s="0" t="str">
        <f aca="false">"120.1"</f>
        <v>120.1</v>
      </c>
    </row>
    <row r="18" customFormat="false" ht="12.8" hidden="false" customHeight="false" outlineLevel="0" collapsed="false">
      <c r="A18" s="0" t="s">
        <v>2559</v>
      </c>
      <c r="B18" s="0" t="s">
        <v>9</v>
      </c>
      <c r="C18" s="0" t="str">
        <f aca="false">"243-254"</f>
        <v>243-254</v>
      </c>
      <c r="D18" s="0" t="s">
        <v>9</v>
      </c>
      <c r="E18" s="0" t="str">
        <f aca="false">"282-293"</f>
        <v>282-293</v>
      </c>
      <c r="F18" s="0" t="s">
        <v>2576</v>
      </c>
      <c r="G18" s="0" t="s">
        <v>13</v>
      </c>
      <c r="H18" s="0" t="str">
        <f aca="false">"179-190"</f>
        <v>179-190</v>
      </c>
      <c r="I18" s="0" t="s">
        <v>13</v>
      </c>
      <c r="J18" s="0" t="str">
        <f aca="false">"205-216"</f>
        <v>205-216</v>
      </c>
      <c r="K18" s="0" t="str">
        <f aca="false">"1.11"</f>
        <v>1.11</v>
      </c>
      <c r="L18" s="0" t="str">
        <f aca="false">"11.37"</f>
        <v>11.37</v>
      </c>
      <c r="M18" s="0" t="str">
        <f aca="false">"115.8"</f>
        <v>115.8</v>
      </c>
    </row>
    <row r="19" customFormat="false" ht="12.8" hidden="false" customHeight="false" outlineLevel="0" collapsed="false">
      <c r="A19" s="0" t="s">
        <v>2559</v>
      </c>
      <c r="B19" s="0" t="s">
        <v>9</v>
      </c>
      <c r="C19" s="0" t="str">
        <f aca="false">"242-253"</f>
        <v>242-253</v>
      </c>
      <c r="D19" s="0" t="s">
        <v>9</v>
      </c>
      <c r="E19" s="0" t="str">
        <f aca="false">"283-294"</f>
        <v>283-294</v>
      </c>
      <c r="F19" s="0" t="s">
        <v>2577</v>
      </c>
      <c r="G19" s="0" t="s">
        <v>9</v>
      </c>
      <c r="H19" s="0" t="str">
        <f aca="false">"120-131"</f>
        <v>120-131</v>
      </c>
      <c r="I19" s="0" t="s">
        <v>9</v>
      </c>
      <c r="J19" s="0" t="str">
        <f aca="false">"143-154"</f>
        <v>143-154</v>
      </c>
      <c r="K19" s="0" t="str">
        <f aca="false">"1.03"</f>
        <v>1.03</v>
      </c>
      <c r="L19" s="0" t="str">
        <f aca="false">"12.08"</f>
        <v>12.08</v>
      </c>
      <c r="M19" s="0" t="str">
        <f aca="false">"118.9"</f>
        <v>118.9</v>
      </c>
    </row>
    <row r="20" customFormat="false" ht="12.8" hidden="false" customHeight="false" outlineLevel="0" collapsed="false">
      <c r="A20" s="0" t="s">
        <v>2559</v>
      </c>
      <c r="B20" s="0" t="s">
        <v>9</v>
      </c>
      <c r="C20" s="0" t="str">
        <f aca="false">"238-249"</f>
        <v>238-249</v>
      </c>
      <c r="D20" s="0" t="s">
        <v>9</v>
      </c>
      <c r="E20" s="0" t="str">
        <f aca="false">"282-293"</f>
        <v>282-293</v>
      </c>
      <c r="F20" s="0" t="s">
        <v>2578</v>
      </c>
      <c r="G20" s="0" t="s">
        <v>9</v>
      </c>
      <c r="H20" s="0" t="str">
        <f aca="false">"746-757"</f>
        <v>746-757</v>
      </c>
      <c r="I20" s="0" t="s">
        <v>9</v>
      </c>
      <c r="J20" s="0" t="str">
        <f aca="false">"785-796"</f>
        <v>785-796</v>
      </c>
      <c r="K20" s="0" t="str">
        <f aca="false">"1.24"</f>
        <v>1.24</v>
      </c>
      <c r="L20" s="0" t="str">
        <f aca="false">"10.22"</f>
        <v>10.22</v>
      </c>
      <c r="M20" s="0" t="str">
        <f aca="false">"120.8"</f>
        <v>120.8</v>
      </c>
    </row>
    <row r="21" customFormat="false" ht="12.8" hidden="false" customHeight="false" outlineLevel="0" collapsed="false">
      <c r="A21" s="0" t="s">
        <v>2559</v>
      </c>
      <c r="B21" s="0" t="s">
        <v>9</v>
      </c>
      <c r="C21" s="0" t="str">
        <f aca="false">"238-249"</f>
        <v>238-249</v>
      </c>
      <c r="D21" s="0" t="s">
        <v>9</v>
      </c>
      <c r="E21" s="0" t="str">
        <f aca="false">"285-296"</f>
        <v>285-296</v>
      </c>
      <c r="F21" s="0" t="s">
        <v>2579</v>
      </c>
      <c r="G21" s="0" t="s">
        <v>9</v>
      </c>
      <c r="H21" s="0" t="str">
        <f aca="false">"482-493"</f>
        <v>482-493</v>
      </c>
      <c r="I21" s="0" t="s">
        <v>9</v>
      </c>
      <c r="J21" s="0" t="str">
        <f aca="false">"459-470"</f>
        <v>459-470</v>
      </c>
      <c r="K21" s="0" t="str">
        <f aca="false">"0.93"</f>
        <v>0.93</v>
      </c>
      <c r="L21" s="0" t="str">
        <f aca="false">"11.48"</f>
        <v>11.48</v>
      </c>
      <c r="M21" s="0" t="str">
        <f aca="false">"116.2"</f>
        <v>116.2</v>
      </c>
    </row>
    <row r="22" customFormat="false" ht="12.8" hidden="false" customHeight="false" outlineLevel="0" collapsed="false">
      <c r="A22" s="0" t="s">
        <v>2559</v>
      </c>
      <c r="B22" s="0" t="s">
        <v>9</v>
      </c>
      <c r="C22" s="0" t="str">
        <f aca="false">"235-246"</f>
        <v>235-246</v>
      </c>
      <c r="D22" s="0" t="s">
        <v>9</v>
      </c>
      <c r="E22" s="0" t="str">
        <f aca="false">"282-293"</f>
        <v>282-293</v>
      </c>
      <c r="F22" s="0" t="s">
        <v>2580</v>
      </c>
      <c r="G22" s="0" t="s">
        <v>9</v>
      </c>
      <c r="H22" s="0" t="str">
        <f aca="false">"642-653"</f>
        <v>642-653</v>
      </c>
      <c r="I22" s="0" t="s">
        <v>9</v>
      </c>
      <c r="J22" s="0" t="str">
        <f aca="false">"682-693"</f>
        <v>682-693</v>
      </c>
      <c r="K22" s="0" t="str">
        <f aca="false">"1.23"</f>
        <v>1.23</v>
      </c>
      <c r="L22" s="0" t="str">
        <f aca="false">"12.96"</f>
        <v>12.96</v>
      </c>
      <c r="M22" s="0" t="str">
        <f aca="false">"111.1"</f>
        <v>111.1</v>
      </c>
    </row>
    <row r="23" customFormat="false" ht="12.8" hidden="false" customHeight="false" outlineLevel="0" collapsed="false">
      <c r="A23" s="0" t="s">
        <v>2559</v>
      </c>
      <c r="B23" s="0" t="s">
        <v>9</v>
      </c>
      <c r="C23" s="0" t="str">
        <f aca="false">"238-249"</f>
        <v>238-249</v>
      </c>
      <c r="D23" s="0" t="s">
        <v>9</v>
      </c>
      <c r="E23" s="0" t="str">
        <f aca="false">"282-293"</f>
        <v>282-293</v>
      </c>
      <c r="F23" s="0" t="s">
        <v>2581</v>
      </c>
      <c r="G23" s="0" t="s">
        <v>9</v>
      </c>
      <c r="H23" s="0" t="str">
        <f aca="false">"68-79"</f>
        <v>68-79</v>
      </c>
      <c r="I23" s="0" t="s">
        <v>9</v>
      </c>
      <c r="J23" s="0" t="str">
        <f aca="false">"133-144"</f>
        <v>133-144</v>
      </c>
      <c r="K23" s="0" t="str">
        <f aca="false">"1.10"</f>
        <v>1.10</v>
      </c>
      <c r="L23" s="0" t="str">
        <f aca="false">"11.43"</f>
        <v>11.43</v>
      </c>
      <c r="M23" s="0" t="str">
        <f aca="false">"106.7"</f>
        <v>106.7</v>
      </c>
    </row>
    <row r="24" customFormat="false" ht="12.8" hidden="false" customHeight="false" outlineLevel="0" collapsed="false">
      <c r="A24" s="0" t="s">
        <v>2559</v>
      </c>
      <c r="B24" s="0" t="s">
        <v>9</v>
      </c>
      <c r="C24" s="0" t="str">
        <f aca="false">"236-247"</f>
        <v>236-247</v>
      </c>
      <c r="D24" s="0" t="s">
        <v>9</v>
      </c>
      <c r="E24" s="0" t="str">
        <f aca="false">"282-293"</f>
        <v>282-293</v>
      </c>
      <c r="F24" s="0" t="s">
        <v>2582</v>
      </c>
      <c r="G24" s="0" t="s">
        <v>9</v>
      </c>
      <c r="H24" s="0" t="str">
        <f aca="false">"60-71"</f>
        <v>60-71</v>
      </c>
      <c r="I24" s="0" t="s">
        <v>9</v>
      </c>
      <c r="J24" s="0" t="str">
        <f aca="false">"125-136"</f>
        <v>125-136</v>
      </c>
      <c r="K24" s="0" t="str">
        <f aca="false">"0.86"</f>
        <v>0.86</v>
      </c>
      <c r="L24" s="0" t="str">
        <f aca="false">"12.65"</f>
        <v>12.65</v>
      </c>
      <c r="M24" s="0" t="str">
        <f aca="false">"101.0"</f>
        <v>101.0</v>
      </c>
    </row>
    <row r="25" customFormat="false" ht="12.8" hidden="false" customHeight="false" outlineLevel="0" collapsed="false">
      <c r="A25" s="0" t="s">
        <v>2559</v>
      </c>
      <c r="B25" s="0" t="s">
        <v>9</v>
      </c>
      <c r="C25" s="0" t="str">
        <f aca="false">"238-249"</f>
        <v>238-249</v>
      </c>
      <c r="D25" s="0" t="s">
        <v>9</v>
      </c>
      <c r="E25" s="0" t="str">
        <f aca="false">"282-293"</f>
        <v>282-293</v>
      </c>
      <c r="F25" s="0" t="s">
        <v>2583</v>
      </c>
      <c r="G25" s="0" t="s">
        <v>9</v>
      </c>
      <c r="H25" s="0" t="str">
        <f aca="false">"56-67"</f>
        <v>56-67</v>
      </c>
      <c r="I25" s="0" t="s">
        <v>9</v>
      </c>
      <c r="J25" s="0" t="str">
        <f aca="false">"119-130"</f>
        <v>119-130</v>
      </c>
      <c r="K25" s="0" t="str">
        <f aca="false">"1.13"</f>
        <v>1.13</v>
      </c>
      <c r="L25" s="0" t="str">
        <f aca="false">"11.72"</f>
        <v>11.72</v>
      </c>
      <c r="M25" s="0" t="str">
        <f aca="false">"101.3"</f>
        <v>101.3</v>
      </c>
    </row>
    <row r="26" customFormat="false" ht="12.8" hidden="false" customHeight="false" outlineLevel="0" collapsed="false">
      <c r="A26" s="0" t="s">
        <v>2559</v>
      </c>
      <c r="B26" s="0" t="s">
        <v>9</v>
      </c>
      <c r="C26" s="0" t="str">
        <f aca="false">"242-253"</f>
        <v>242-253</v>
      </c>
      <c r="D26" s="0" t="s">
        <v>9</v>
      </c>
      <c r="E26" s="0" t="str">
        <f aca="false">"282-293"</f>
        <v>282-293</v>
      </c>
      <c r="F26" s="0" t="s">
        <v>2584</v>
      </c>
      <c r="G26" s="0" t="s">
        <v>9</v>
      </c>
      <c r="H26" s="0" t="str">
        <f aca="false">"74-85"</f>
        <v>74-85</v>
      </c>
      <c r="I26" s="0" t="s">
        <v>9</v>
      </c>
      <c r="J26" s="0" t="str">
        <f aca="false">"5-16"</f>
        <v>5-16</v>
      </c>
      <c r="K26" s="0" t="str">
        <f aca="false">"0.98"</f>
        <v>0.98</v>
      </c>
      <c r="L26" s="0" t="str">
        <f aca="false">"12.02"</f>
        <v>12.02</v>
      </c>
      <c r="M26" s="0" t="str">
        <f aca="false">"115.0"</f>
        <v>115.0</v>
      </c>
    </row>
    <row r="27" customFormat="false" ht="12.8" hidden="false" customHeight="false" outlineLevel="0" collapsed="false">
      <c r="A27" s="0" t="s">
        <v>2559</v>
      </c>
      <c r="B27" s="0" t="s">
        <v>9</v>
      </c>
      <c r="C27" s="0" t="str">
        <f aca="false">"238-249"</f>
        <v>238-249</v>
      </c>
      <c r="D27" s="0" t="s">
        <v>9</v>
      </c>
      <c r="E27" s="0" t="str">
        <f aca="false">"289-300"</f>
        <v>289-300</v>
      </c>
      <c r="F27" s="0" t="s">
        <v>2585</v>
      </c>
      <c r="G27" s="0" t="s">
        <v>9</v>
      </c>
      <c r="H27" s="0" t="str">
        <f aca="false">"203-214"</f>
        <v>203-214</v>
      </c>
      <c r="I27" s="0" t="s">
        <v>9</v>
      </c>
      <c r="J27" s="0" t="str">
        <f aca="false">"234-245"</f>
        <v>234-245</v>
      </c>
      <c r="K27" s="0" t="str">
        <f aca="false">"1.17"</f>
        <v>1.17</v>
      </c>
      <c r="L27" s="0" t="str">
        <f aca="false">"12.47"</f>
        <v>12.47</v>
      </c>
      <c r="M27" s="0" t="str">
        <f aca="false">"99.8"</f>
        <v>99.8</v>
      </c>
    </row>
    <row r="28" customFormat="false" ht="12.8" hidden="false" customHeight="false" outlineLevel="0" collapsed="false">
      <c r="A28" s="0" t="s">
        <v>2559</v>
      </c>
      <c r="B28" s="0" t="s">
        <v>9</v>
      </c>
      <c r="C28" s="0" t="str">
        <f aca="false">"240-251"</f>
        <v>240-251</v>
      </c>
      <c r="D28" s="0" t="s">
        <v>9</v>
      </c>
      <c r="E28" s="0" t="str">
        <f aca="false">"283-294"</f>
        <v>283-294</v>
      </c>
      <c r="F28" s="0" t="s">
        <v>2586</v>
      </c>
      <c r="G28" s="0" t="s">
        <v>9</v>
      </c>
      <c r="H28" s="0" t="str">
        <f aca="false">"206-217"</f>
        <v>206-217</v>
      </c>
      <c r="I28" s="0" t="s">
        <v>9</v>
      </c>
      <c r="J28" s="0" t="str">
        <f aca="false">"164-175"</f>
        <v>164-175</v>
      </c>
      <c r="K28" s="0" t="str">
        <f aca="false">"1.05"</f>
        <v>1.05</v>
      </c>
      <c r="L28" s="0" t="str">
        <f aca="false">"11.52"</f>
        <v>11.52</v>
      </c>
      <c r="M28" s="0" t="str">
        <f aca="false">"119.1"</f>
        <v>119.1</v>
      </c>
    </row>
    <row r="29" customFormat="false" ht="12.8" hidden="false" customHeight="false" outlineLevel="0" collapsed="false">
      <c r="A29" s="0" t="s">
        <v>2559</v>
      </c>
      <c r="B29" s="0" t="s">
        <v>9</v>
      </c>
      <c r="C29" s="0" t="str">
        <f aca="false">"239-250"</f>
        <v>239-250</v>
      </c>
      <c r="D29" s="0" t="s">
        <v>9</v>
      </c>
      <c r="E29" s="0" t="str">
        <f aca="false">"284-295"</f>
        <v>284-295</v>
      </c>
      <c r="F29" s="0" t="s">
        <v>2587</v>
      </c>
      <c r="G29" s="0" t="s">
        <v>9</v>
      </c>
      <c r="H29" s="0" t="str">
        <f aca="false">"59-70"</f>
        <v>59-70</v>
      </c>
      <c r="I29" s="0" t="s">
        <v>9</v>
      </c>
      <c r="J29" s="0" t="str">
        <f aca="false">"200-211"</f>
        <v>200-211</v>
      </c>
      <c r="K29" s="0" t="str">
        <f aca="false">"0.97"</f>
        <v>0.97</v>
      </c>
      <c r="L29" s="0" t="str">
        <f aca="false">"11.68"</f>
        <v>11.68</v>
      </c>
      <c r="M29" s="0" t="str">
        <f aca="false">"122.6"</f>
        <v>122.6</v>
      </c>
    </row>
    <row r="30" customFormat="false" ht="12.8" hidden="false" customHeight="false" outlineLevel="0" collapsed="false">
      <c r="A30" s="0" t="s">
        <v>2559</v>
      </c>
      <c r="B30" s="0" t="s">
        <v>9</v>
      </c>
      <c r="C30" s="0" t="str">
        <f aca="false">"237-248"</f>
        <v>237-248</v>
      </c>
      <c r="D30" s="0" t="s">
        <v>9</v>
      </c>
      <c r="E30" s="0" t="str">
        <f aca="false">"289-300"</f>
        <v>289-300</v>
      </c>
      <c r="F30" s="0" t="s">
        <v>2588</v>
      </c>
      <c r="G30" s="0" t="s">
        <v>13</v>
      </c>
      <c r="H30" s="0" t="str">
        <f aca="false">"64-75"</f>
        <v>64-75</v>
      </c>
      <c r="I30" s="0" t="s">
        <v>13</v>
      </c>
      <c r="J30" s="0" t="str">
        <f aca="false">"84-95"</f>
        <v>84-95</v>
      </c>
      <c r="K30" s="0" t="str">
        <f aca="false">"0.90"</f>
        <v>0.90</v>
      </c>
      <c r="L30" s="0" t="str">
        <f aca="false">"13.68"</f>
        <v>13.68</v>
      </c>
      <c r="M30" s="0" t="str">
        <f aca="false">"101.1"</f>
        <v>101.1</v>
      </c>
    </row>
    <row r="31" customFormat="false" ht="12.8" hidden="false" customHeight="false" outlineLevel="0" collapsed="false">
      <c r="A31" s="0" t="s">
        <v>2559</v>
      </c>
      <c r="B31" s="0" t="s">
        <v>9</v>
      </c>
      <c r="C31" s="0" t="str">
        <f aca="false">"238-249"</f>
        <v>238-249</v>
      </c>
      <c r="D31" s="0" t="s">
        <v>9</v>
      </c>
      <c r="E31" s="0" t="str">
        <f aca="false">"287-298"</f>
        <v>287-298</v>
      </c>
      <c r="F31" s="0" t="s">
        <v>2589</v>
      </c>
      <c r="G31" s="0" t="s">
        <v>9</v>
      </c>
      <c r="H31" s="0" t="str">
        <f aca="false">"143-154"</f>
        <v>143-154</v>
      </c>
      <c r="I31" s="0" t="s">
        <v>9</v>
      </c>
      <c r="J31" s="0" t="str">
        <f aca="false">"172-183"</f>
        <v>172-183</v>
      </c>
      <c r="K31" s="0" t="str">
        <f aca="false">"1.16"</f>
        <v>1.16</v>
      </c>
      <c r="L31" s="0" t="str">
        <f aca="false">"13.81"</f>
        <v>13.81</v>
      </c>
      <c r="M31" s="0" t="str">
        <f aca="false">"115.2"</f>
        <v>115.2</v>
      </c>
    </row>
    <row r="32" customFormat="false" ht="12.8" hidden="false" customHeight="false" outlineLevel="0" collapsed="false">
      <c r="A32" s="0" t="s">
        <v>2559</v>
      </c>
      <c r="B32" s="0" t="s">
        <v>9</v>
      </c>
      <c r="C32" s="0" t="str">
        <f aca="false">"238-249"</f>
        <v>238-249</v>
      </c>
      <c r="D32" s="0" t="s">
        <v>9</v>
      </c>
      <c r="E32" s="0" t="str">
        <f aca="false">"282-293"</f>
        <v>282-293</v>
      </c>
      <c r="F32" s="0" t="s">
        <v>2590</v>
      </c>
      <c r="G32" s="0" t="s">
        <v>9</v>
      </c>
      <c r="H32" s="0" t="str">
        <f aca="false">"62-73"</f>
        <v>62-73</v>
      </c>
      <c r="I32" s="0" t="s">
        <v>9</v>
      </c>
      <c r="J32" s="0" t="str">
        <f aca="false">"130-141"</f>
        <v>130-141</v>
      </c>
      <c r="K32" s="0" t="str">
        <f aca="false">"0.84"</f>
        <v>0.84</v>
      </c>
      <c r="L32" s="0" t="str">
        <f aca="false">"11.50"</f>
        <v>11.50</v>
      </c>
      <c r="M32" s="0" t="str">
        <f aca="false">"103.5"</f>
        <v>103.5</v>
      </c>
    </row>
    <row r="33" customFormat="false" ht="12.8" hidden="false" customHeight="false" outlineLevel="0" collapsed="false">
      <c r="A33" s="0" t="s">
        <v>2559</v>
      </c>
      <c r="B33" s="0" t="s">
        <v>9</v>
      </c>
      <c r="C33" s="0" t="str">
        <f aca="false">"238-249"</f>
        <v>238-249</v>
      </c>
      <c r="D33" s="0" t="s">
        <v>9</v>
      </c>
      <c r="E33" s="0" t="str">
        <f aca="false">"282-293"</f>
        <v>282-293</v>
      </c>
      <c r="F33" s="0" t="s">
        <v>2591</v>
      </c>
      <c r="G33" s="0" t="s">
        <v>9</v>
      </c>
      <c r="H33" s="0" t="str">
        <f aca="false">"538-549"</f>
        <v>538-549</v>
      </c>
      <c r="I33" s="0" t="s">
        <v>9</v>
      </c>
      <c r="J33" s="0" t="str">
        <f aca="false">"160-171"</f>
        <v>160-171</v>
      </c>
      <c r="K33" s="0" t="str">
        <f aca="false">"1.14"</f>
        <v>1.14</v>
      </c>
      <c r="L33" s="0" t="str">
        <f aca="false">"12.77"</f>
        <v>12.77</v>
      </c>
      <c r="M33" s="0" t="str">
        <f aca="false">"113.6"</f>
        <v>113.6</v>
      </c>
    </row>
    <row r="34" customFormat="false" ht="12.8" hidden="false" customHeight="false" outlineLevel="0" collapsed="false">
      <c r="A34" s="0" t="s">
        <v>2559</v>
      </c>
      <c r="B34" s="0" t="s">
        <v>9</v>
      </c>
      <c r="C34" s="0" t="str">
        <f aca="false">"233-244"</f>
        <v>233-244</v>
      </c>
      <c r="D34" s="0" t="s">
        <v>9</v>
      </c>
      <c r="E34" s="0" t="str">
        <f aca="false">"286-297"</f>
        <v>286-297</v>
      </c>
      <c r="F34" s="0" t="s">
        <v>2592</v>
      </c>
      <c r="G34" s="0" t="s">
        <v>9</v>
      </c>
      <c r="H34" s="0" t="str">
        <f aca="false">"61-72"</f>
        <v>61-72</v>
      </c>
      <c r="I34" s="0" t="s">
        <v>9</v>
      </c>
      <c r="J34" s="0" t="str">
        <f aca="false">"121-132"</f>
        <v>121-132</v>
      </c>
      <c r="K34" s="0" t="str">
        <f aca="false">"1.08"</f>
        <v>1.08</v>
      </c>
      <c r="L34" s="0" t="str">
        <f aca="false">"14.48"</f>
        <v>14.48</v>
      </c>
      <c r="M34" s="0" t="str">
        <f aca="false">"101.9"</f>
        <v>101.9</v>
      </c>
    </row>
    <row r="35" customFormat="false" ht="12.8" hidden="false" customHeight="false" outlineLevel="0" collapsed="false">
      <c r="A35" s="0" t="s">
        <v>2559</v>
      </c>
      <c r="B35" s="0" t="s">
        <v>9</v>
      </c>
      <c r="C35" s="0" t="str">
        <f aca="false">"234-245"</f>
        <v>234-245</v>
      </c>
      <c r="D35" s="0" t="s">
        <v>9</v>
      </c>
      <c r="E35" s="0" t="str">
        <f aca="false">"286-297"</f>
        <v>286-297</v>
      </c>
      <c r="F35" s="0" t="s">
        <v>2593</v>
      </c>
      <c r="G35" s="0" t="s">
        <v>9</v>
      </c>
      <c r="H35" s="0" t="str">
        <f aca="false">"210-221"</f>
        <v>210-221</v>
      </c>
      <c r="I35" s="0" t="s">
        <v>9</v>
      </c>
      <c r="J35" s="0" t="str">
        <f aca="false">"324-335"</f>
        <v>324-335</v>
      </c>
      <c r="K35" s="0" t="str">
        <f aca="false">"1.00"</f>
        <v>1.00</v>
      </c>
      <c r="L35" s="0" t="str">
        <f aca="false">"13.21"</f>
        <v>13.21</v>
      </c>
      <c r="M35" s="0" t="str">
        <f aca="false">"122.0"</f>
        <v>122.0</v>
      </c>
    </row>
    <row r="36" customFormat="false" ht="12.8" hidden="false" customHeight="false" outlineLevel="0" collapsed="false">
      <c r="A36" s="0" t="s">
        <v>2559</v>
      </c>
      <c r="B36" s="0" t="s">
        <v>9</v>
      </c>
      <c r="C36" s="0" t="str">
        <f aca="false">"233-244"</f>
        <v>233-244</v>
      </c>
      <c r="D36" s="0" t="s">
        <v>9</v>
      </c>
      <c r="E36" s="0" t="str">
        <f aca="false">"285-296"</f>
        <v>285-296</v>
      </c>
      <c r="F36" s="0" t="s">
        <v>2594</v>
      </c>
      <c r="G36" s="0" t="s">
        <v>9</v>
      </c>
      <c r="H36" s="0" t="str">
        <f aca="false">"58-69"</f>
        <v>58-69</v>
      </c>
      <c r="I36" s="0" t="s">
        <v>9</v>
      </c>
      <c r="J36" s="0" t="str">
        <f aca="false">"119-130"</f>
        <v>119-130</v>
      </c>
      <c r="K36" s="0" t="str">
        <f aca="false">"1.06"</f>
        <v>1.06</v>
      </c>
      <c r="L36" s="0" t="str">
        <f aca="false">"13.63"</f>
        <v>13.63</v>
      </c>
      <c r="M36" s="0" t="str">
        <f aca="false">"92.7"</f>
        <v>92.7</v>
      </c>
    </row>
    <row r="37" customFormat="false" ht="12.8" hidden="false" customHeight="false" outlineLevel="0" collapsed="false">
      <c r="A37" s="0" t="s">
        <v>2559</v>
      </c>
      <c r="B37" s="0" t="s">
        <v>9</v>
      </c>
      <c r="C37" s="0" t="str">
        <f aca="false">"233-244"</f>
        <v>233-244</v>
      </c>
      <c r="D37" s="0" t="s">
        <v>9</v>
      </c>
      <c r="E37" s="0" t="str">
        <f aca="false">"286-297"</f>
        <v>286-297</v>
      </c>
      <c r="F37" s="0" t="s">
        <v>2595</v>
      </c>
      <c r="G37" s="0" t="s">
        <v>9</v>
      </c>
      <c r="H37" s="0" t="str">
        <f aca="false">"137-148"</f>
        <v>137-148</v>
      </c>
      <c r="I37" s="0" t="s">
        <v>9</v>
      </c>
      <c r="J37" s="0" t="str">
        <f aca="false">"154-165"</f>
        <v>154-165</v>
      </c>
      <c r="K37" s="0" t="str">
        <f aca="false">"0.90"</f>
        <v>0.90</v>
      </c>
      <c r="L37" s="0" t="str">
        <f aca="false">"12.95"</f>
        <v>12.95</v>
      </c>
      <c r="M37" s="0" t="str">
        <f aca="false">"112.7"</f>
        <v>112.7</v>
      </c>
    </row>
    <row r="38" customFormat="false" ht="12.8" hidden="false" customHeight="false" outlineLevel="0" collapsed="false">
      <c r="A38" s="0" t="s">
        <v>2559</v>
      </c>
      <c r="B38" s="0" t="s">
        <v>9</v>
      </c>
      <c r="C38" s="0" t="str">
        <f aca="false">"236-247"</f>
        <v>236-247</v>
      </c>
      <c r="D38" s="0" t="s">
        <v>9</v>
      </c>
      <c r="E38" s="0" t="str">
        <f aca="false">"282-293"</f>
        <v>282-293</v>
      </c>
      <c r="F38" s="0" t="s">
        <v>2596</v>
      </c>
      <c r="G38" s="0" t="s">
        <v>9</v>
      </c>
      <c r="H38" s="0" t="str">
        <f aca="false">"73-84"</f>
        <v>73-84</v>
      </c>
      <c r="I38" s="0" t="s">
        <v>9</v>
      </c>
      <c r="J38" s="0" t="str">
        <f aca="false">"131-142"</f>
        <v>131-142</v>
      </c>
      <c r="K38" s="0" t="str">
        <f aca="false">"1.04"</f>
        <v>1.04</v>
      </c>
      <c r="L38" s="0" t="str">
        <f aca="false">"12.68"</f>
        <v>12.68</v>
      </c>
      <c r="M38" s="0" t="str">
        <f aca="false">"106.2"</f>
        <v>106.2</v>
      </c>
    </row>
    <row r="39" customFormat="false" ht="12.8" hidden="false" customHeight="false" outlineLevel="0" collapsed="false">
      <c r="A39" s="0" t="s">
        <v>2559</v>
      </c>
      <c r="B39" s="0" t="s">
        <v>9</v>
      </c>
      <c r="C39" s="0" t="str">
        <f aca="false">"242-253"</f>
        <v>242-253</v>
      </c>
      <c r="D39" s="0" t="s">
        <v>9</v>
      </c>
      <c r="E39" s="0" t="str">
        <f aca="false">"285-296"</f>
        <v>285-296</v>
      </c>
      <c r="F39" s="0" t="s">
        <v>2597</v>
      </c>
      <c r="G39" s="0" t="s">
        <v>9</v>
      </c>
      <c r="H39" s="0" t="str">
        <f aca="false">"331-342"</f>
        <v>331-342</v>
      </c>
      <c r="I39" s="0" t="s">
        <v>9</v>
      </c>
      <c r="J39" s="0" t="str">
        <f aca="false">"310-321"</f>
        <v>310-321</v>
      </c>
      <c r="K39" s="0" t="str">
        <f aca="false">"0.54"</f>
        <v>0.54</v>
      </c>
      <c r="L39" s="0" t="str">
        <f aca="false">"12.51"</f>
        <v>12.51</v>
      </c>
      <c r="M39" s="0" t="str">
        <f aca="false">"109.1"</f>
        <v>109.1</v>
      </c>
    </row>
    <row r="40" customFormat="false" ht="12.8" hidden="false" customHeight="false" outlineLevel="0" collapsed="false">
      <c r="A40" s="0" t="s">
        <v>2559</v>
      </c>
      <c r="B40" s="0" t="s">
        <v>9</v>
      </c>
      <c r="C40" s="0" t="str">
        <f aca="false">"242-253"</f>
        <v>242-253</v>
      </c>
      <c r="D40" s="0" t="s">
        <v>9</v>
      </c>
      <c r="E40" s="0" t="str">
        <f aca="false">"285-296"</f>
        <v>285-296</v>
      </c>
      <c r="F40" s="0" t="s">
        <v>2598</v>
      </c>
      <c r="G40" s="0" t="s">
        <v>9</v>
      </c>
      <c r="H40" s="0" t="str">
        <f aca="false">"321-332"</f>
        <v>321-332</v>
      </c>
      <c r="I40" s="0" t="s">
        <v>9</v>
      </c>
      <c r="J40" s="0" t="str">
        <f aca="false">"304-315"</f>
        <v>304-315</v>
      </c>
      <c r="K40" s="0" t="str">
        <f aca="false">"1.01"</f>
        <v>1.01</v>
      </c>
      <c r="L40" s="0" t="str">
        <f aca="false">"12.35"</f>
        <v>12.35</v>
      </c>
      <c r="M40" s="0" t="str">
        <f aca="false">"113.1"</f>
        <v>113.1</v>
      </c>
    </row>
    <row r="41" customFormat="false" ht="12.8" hidden="false" customHeight="false" outlineLevel="0" collapsed="false">
      <c r="A41" s="0" t="s">
        <v>2559</v>
      </c>
      <c r="B41" s="0" t="s">
        <v>9</v>
      </c>
      <c r="C41" s="0" t="str">
        <f aca="false">"242-253"</f>
        <v>242-253</v>
      </c>
      <c r="D41" s="0" t="s">
        <v>9</v>
      </c>
      <c r="E41" s="0" t="str">
        <f aca="false">"282-293"</f>
        <v>282-293</v>
      </c>
      <c r="F41" s="0" t="s">
        <v>2599</v>
      </c>
      <c r="G41" s="0" t="s">
        <v>13</v>
      </c>
      <c r="H41" s="0" t="str">
        <f aca="false">"64-75"</f>
        <v>64-75</v>
      </c>
      <c r="I41" s="0" t="s">
        <v>13</v>
      </c>
      <c r="J41" s="0" t="str">
        <f aca="false">"86-97"</f>
        <v>86-97</v>
      </c>
      <c r="K41" s="0" t="str">
        <f aca="false">"0.86"</f>
        <v>0.86</v>
      </c>
      <c r="L41" s="0" t="str">
        <f aca="false">"10.64"</f>
        <v>10.64</v>
      </c>
      <c r="M41" s="0" t="str">
        <f aca="false">"102.8"</f>
        <v>102.8</v>
      </c>
    </row>
    <row r="42" customFormat="false" ht="12.8" hidden="false" customHeight="false" outlineLevel="0" collapsed="false">
      <c r="A42" s="0" t="s">
        <v>2559</v>
      </c>
      <c r="B42" s="0" t="s">
        <v>9</v>
      </c>
      <c r="C42" s="0" t="str">
        <f aca="false">"240-251"</f>
        <v>240-251</v>
      </c>
      <c r="D42" s="0" t="s">
        <v>9</v>
      </c>
      <c r="E42" s="0" t="str">
        <f aca="false">"282-293"</f>
        <v>282-293</v>
      </c>
      <c r="F42" s="0" t="s">
        <v>2600</v>
      </c>
      <c r="G42" s="0" t="s">
        <v>9</v>
      </c>
      <c r="H42" s="0" t="str">
        <f aca="false">"273-284"</f>
        <v>273-284</v>
      </c>
      <c r="I42" s="0" t="s">
        <v>9</v>
      </c>
      <c r="J42" s="0" t="str">
        <f aca="false">"357-368"</f>
        <v>357-368</v>
      </c>
      <c r="K42" s="0" t="str">
        <f aca="false">"0.99"</f>
        <v>0.99</v>
      </c>
      <c r="L42" s="0" t="str">
        <f aca="false">"10.55"</f>
        <v>10.55</v>
      </c>
      <c r="M42" s="0" t="str">
        <f aca="false">"121.7"</f>
        <v>121.7</v>
      </c>
    </row>
    <row r="43" customFormat="false" ht="12.8" hidden="false" customHeight="false" outlineLevel="0" collapsed="false">
      <c r="A43" s="0" t="s">
        <v>2559</v>
      </c>
      <c r="B43" s="0" t="s">
        <v>9</v>
      </c>
      <c r="C43" s="0" t="str">
        <f aca="false">"239-250"</f>
        <v>239-250</v>
      </c>
      <c r="D43" s="0" t="s">
        <v>9</v>
      </c>
      <c r="E43" s="0" t="str">
        <f aca="false">"284-295"</f>
        <v>284-295</v>
      </c>
      <c r="F43" s="0" t="s">
        <v>2601</v>
      </c>
      <c r="G43" s="0" t="s">
        <v>9</v>
      </c>
      <c r="H43" s="0" t="str">
        <f aca="false">"347-358"</f>
        <v>347-358</v>
      </c>
      <c r="I43" s="0" t="s">
        <v>9</v>
      </c>
      <c r="J43" s="0" t="str">
        <f aca="false">"442-453"</f>
        <v>442-453</v>
      </c>
      <c r="K43" s="0" t="str">
        <f aca="false">"1.11"</f>
        <v>1.11</v>
      </c>
      <c r="L43" s="0" t="str">
        <f aca="false">"10.80"</f>
        <v>10.80</v>
      </c>
      <c r="M43" s="0" t="str">
        <f aca="false">"115.1"</f>
        <v>115.1</v>
      </c>
    </row>
    <row r="44" customFormat="false" ht="12.8" hidden="false" customHeight="false" outlineLevel="0" collapsed="false">
      <c r="A44" s="0" t="s">
        <v>2559</v>
      </c>
      <c r="B44" s="0" t="s">
        <v>9</v>
      </c>
      <c r="C44" s="0" t="str">
        <f aca="false">"241-252"</f>
        <v>241-252</v>
      </c>
      <c r="D44" s="0" t="s">
        <v>9</v>
      </c>
      <c r="E44" s="0" t="str">
        <f aca="false">"286-297"</f>
        <v>286-297</v>
      </c>
      <c r="F44" s="0" t="s">
        <v>2602</v>
      </c>
      <c r="G44" s="0" t="s">
        <v>9</v>
      </c>
      <c r="H44" s="0" t="str">
        <f aca="false">"88-99"</f>
        <v>88-99</v>
      </c>
      <c r="I44" s="0" t="s">
        <v>9</v>
      </c>
      <c r="J44" s="0" t="str">
        <f aca="false">"106-117"</f>
        <v>106-117</v>
      </c>
      <c r="K44" s="0" t="str">
        <f aca="false">"1.20"</f>
        <v>1.20</v>
      </c>
      <c r="L44" s="0" t="str">
        <f aca="false">"13.61"</f>
        <v>13.61</v>
      </c>
      <c r="M44" s="0" t="str">
        <f aca="false">"109.0"</f>
        <v>109.0</v>
      </c>
    </row>
    <row r="45" customFormat="false" ht="12.8" hidden="false" customHeight="false" outlineLevel="0" collapsed="false">
      <c r="A45" s="0" t="s">
        <v>2559</v>
      </c>
      <c r="B45" s="0" t="s">
        <v>9</v>
      </c>
      <c r="C45" s="0" t="str">
        <f aca="false">"240-251"</f>
        <v>240-251</v>
      </c>
      <c r="D45" s="0" t="s">
        <v>9</v>
      </c>
      <c r="E45" s="0" t="str">
        <f aca="false">"286-297"</f>
        <v>286-297</v>
      </c>
      <c r="F45" s="0" t="s">
        <v>2603</v>
      </c>
      <c r="G45" s="0" t="s">
        <v>9</v>
      </c>
      <c r="H45" s="0" t="str">
        <f aca="false">"46-57"</f>
        <v>46-57</v>
      </c>
      <c r="I45" s="0" t="s">
        <v>9</v>
      </c>
      <c r="J45" s="0" t="str">
        <f aca="false">"89-100"</f>
        <v>89-100</v>
      </c>
      <c r="K45" s="0" t="str">
        <f aca="false">"0.80"</f>
        <v>0.80</v>
      </c>
      <c r="L45" s="0" t="str">
        <f aca="false">"11.87"</f>
        <v>11.87</v>
      </c>
      <c r="M45" s="0" t="str">
        <f aca="false">"101.5"</f>
        <v>101.5</v>
      </c>
    </row>
    <row r="46" customFormat="false" ht="12.8" hidden="false" customHeight="false" outlineLevel="0" collapsed="false">
      <c r="A46" s="0" t="s">
        <v>2559</v>
      </c>
      <c r="B46" s="0" t="s">
        <v>9</v>
      </c>
      <c r="C46" s="0" t="str">
        <f aca="false">"242-253"</f>
        <v>242-253</v>
      </c>
      <c r="D46" s="0" t="s">
        <v>9</v>
      </c>
      <c r="E46" s="0" t="str">
        <f aca="false">"282-293"</f>
        <v>282-293</v>
      </c>
      <c r="F46" s="0" t="s">
        <v>2604</v>
      </c>
      <c r="G46" s="0" t="s">
        <v>9</v>
      </c>
      <c r="H46" s="0" t="str">
        <f aca="false">"97-108"</f>
        <v>97-108</v>
      </c>
      <c r="I46" s="0" t="s">
        <v>9</v>
      </c>
      <c r="J46" s="0" t="str">
        <f aca="false">"77-88"</f>
        <v>77-88</v>
      </c>
      <c r="K46" s="0" t="str">
        <f aca="false">"0.68"</f>
        <v>0.68</v>
      </c>
      <c r="L46" s="0" t="str">
        <f aca="false">"10.91"</f>
        <v>10.91</v>
      </c>
      <c r="M46" s="0" t="str">
        <f aca="false">"115.8"</f>
        <v>115.8</v>
      </c>
    </row>
    <row r="47" customFormat="false" ht="12.8" hidden="false" customHeight="false" outlineLevel="0" collapsed="false">
      <c r="A47" s="0" t="s">
        <v>2559</v>
      </c>
      <c r="B47" s="0" t="s">
        <v>9</v>
      </c>
      <c r="C47" s="0" t="str">
        <f aca="false">"236-247"</f>
        <v>236-247</v>
      </c>
      <c r="D47" s="0" t="s">
        <v>9</v>
      </c>
      <c r="E47" s="0" t="str">
        <f aca="false">"282-293"</f>
        <v>282-293</v>
      </c>
      <c r="F47" s="0" t="s">
        <v>2605</v>
      </c>
      <c r="G47" s="0" t="s">
        <v>13</v>
      </c>
      <c r="H47" s="0" t="str">
        <f aca="false">"65-76"</f>
        <v>65-76</v>
      </c>
      <c r="I47" s="0" t="s">
        <v>13</v>
      </c>
      <c r="J47" s="0" t="str">
        <f aca="false">"130-141"</f>
        <v>130-141</v>
      </c>
      <c r="K47" s="0" t="str">
        <f aca="false">"0.92"</f>
        <v>0.92</v>
      </c>
      <c r="L47" s="0" t="str">
        <f aca="false">"12.79"</f>
        <v>12.79</v>
      </c>
      <c r="M47" s="0" t="str">
        <f aca="false">"101.5"</f>
        <v>101.5</v>
      </c>
    </row>
    <row r="48" customFormat="false" ht="12.8" hidden="false" customHeight="false" outlineLevel="0" collapsed="false">
      <c r="A48" s="0" t="s">
        <v>2559</v>
      </c>
      <c r="B48" s="0" t="s">
        <v>9</v>
      </c>
      <c r="C48" s="0" t="str">
        <f aca="false">"239-250"</f>
        <v>239-250</v>
      </c>
      <c r="D48" s="0" t="s">
        <v>9</v>
      </c>
      <c r="E48" s="0" t="str">
        <f aca="false">"285-296"</f>
        <v>285-296</v>
      </c>
      <c r="F48" s="0" t="s">
        <v>2606</v>
      </c>
      <c r="G48" s="0" t="s">
        <v>9</v>
      </c>
      <c r="H48" s="0" t="str">
        <f aca="false">"16-27"</f>
        <v>16-27</v>
      </c>
      <c r="I48" s="0" t="s">
        <v>9</v>
      </c>
      <c r="J48" s="0" t="str">
        <f aca="false">"85-96"</f>
        <v>85-96</v>
      </c>
      <c r="K48" s="0" t="str">
        <f aca="false">"0.73"</f>
        <v>0.73</v>
      </c>
      <c r="L48" s="0" t="str">
        <f aca="false">"10.93"</f>
        <v>10.93</v>
      </c>
      <c r="M48" s="0" t="str">
        <f aca="false">"117.7"</f>
        <v>117.7</v>
      </c>
    </row>
    <row r="49" customFormat="false" ht="12.8" hidden="false" customHeight="false" outlineLevel="0" collapsed="false">
      <c r="A49" s="0" t="s">
        <v>2559</v>
      </c>
      <c r="B49" s="0" t="s">
        <v>9</v>
      </c>
      <c r="C49" s="0" t="str">
        <f aca="false">"239-250"</f>
        <v>239-250</v>
      </c>
      <c r="D49" s="0" t="s">
        <v>9</v>
      </c>
      <c r="E49" s="0" t="str">
        <f aca="false">"283-294"</f>
        <v>283-294</v>
      </c>
      <c r="F49" s="0" t="s">
        <v>2607</v>
      </c>
      <c r="G49" s="0" t="s">
        <v>9</v>
      </c>
      <c r="H49" s="0" t="str">
        <f aca="false">"17-28"</f>
        <v>17-28</v>
      </c>
      <c r="I49" s="0" t="s">
        <v>9</v>
      </c>
      <c r="J49" s="0" t="str">
        <f aca="false">"57-68"</f>
        <v>57-68</v>
      </c>
      <c r="K49" s="0" t="str">
        <f aca="false">"1.23"</f>
        <v>1.23</v>
      </c>
      <c r="L49" s="0" t="str">
        <f aca="false">"11.20"</f>
        <v>11.20</v>
      </c>
      <c r="M49" s="0" t="str">
        <f aca="false">"89.1"</f>
        <v>89.1</v>
      </c>
    </row>
    <row r="50" customFormat="false" ht="12.8" hidden="false" customHeight="false" outlineLevel="0" collapsed="false">
      <c r="A50" s="0" t="s">
        <v>2559</v>
      </c>
      <c r="B50" s="0" t="s">
        <v>9</v>
      </c>
      <c r="C50" s="0" t="str">
        <f aca="false">"239-250"</f>
        <v>239-250</v>
      </c>
      <c r="D50" s="0" t="s">
        <v>9</v>
      </c>
      <c r="E50" s="0" t="str">
        <f aca="false">"286-297"</f>
        <v>286-297</v>
      </c>
      <c r="F50" s="0" t="s">
        <v>2608</v>
      </c>
      <c r="G50" s="0" t="s">
        <v>9</v>
      </c>
      <c r="H50" s="0" t="str">
        <f aca="false">"282-293"</f>
        <v>282-293</v>
      </c>
      <c r="I50" s="0" t="s">
        <v>13</v>
      </c>
      <c r="J50" s="0" t="str">
        <f aca="false">"282-293"</f>
        <v>282-293</v>
      </c>
      <c r="K50" s="0" t="str">
        <f aca="false">"1.04"</f>
        <v>1.04</v>
      </c>
      <c r="L50" s="0" t="str">
        <f aca="false">"12.30"</f>
        <v>12.30</v>
      </c>
      <c r="M50" s="0" t="str">
        <f aca="false">"106.3"</f>
        <v>106.3</v>
      </c>
    </row>
    <row r="51" customFormat="false" ht="12.8" hidden="false" customHeight="false" outlineLevel="0" collapsed="false">
      <c r="A51" s="0" t="s">
        <v>2559</v>
      </c>
      <c r="B51" s="0" t="s">
        <v>9</v>
      </c>
      <c r="C51" s="0" t="str">
        <f aca="false">"237-248"</f>
        <v>237-248</v>
      </c>
      <c r="D51" s="0" t="s">
        <v>9</v>
      </c>
      <c r="E51" s="0" t="str">
        <f aca="false">"282-293"</f>
        <v>282-293</v>
      </c>
      <c r="F51" s="0" t="s">
        <v>2609</v>
      </c>
      <c r="G51" s="0" t="s">
        <v>9</v>
      </c>
      <c r="H51" s="0" t="str">
        <f aca="false">"279-290"</f>
        <v>279-290</v>
      </c>
      <c r="I51" s="0" t="s">
        <v>9</v>
      </c>
      <c r="J51" s="0" t="str">
        <f aca="false">"254-265"</f>
        <v>254-265</v>
      </c>
      <c r="K51" s="0" t="str">
        <f aca="false">"1.12"</f>
        <v>1.12</v>
      </c>
      <c r="L51" s="0" t="str">
        <f aca="false">"12.48"</f>
        <v>12.48</v>
      </c>
      <c r="M51" s="0" t="str">
        <f aca="false">"108.7"</f>
        <v>108.7</v>
      </c>
    </row>
    <row r="52" customFormat="false" ht="12.8" hidden="false" customHeight="false" outlineLevel="0" collapsed="false">
      <c r="A52" s="0" t="s">
        <v>2559</v>
      </c>
      <c r="B52" s="0" t="s">
        <v>9</v>
      </c>
      <c r="C52" s="0" t="str">
        <f aca="false">"233-244"</f>
        <v>233-244</v>
      </c>
      <c r="D52" s="0" t="s">
        <v>9</v>
      </c>
      <c r="E52" s="0" t="str">
        <f aca="false">"288-299"</f>
        <v>288-299</v>
      </c>
      <c r="F52" s="0" t="s">
        <v>2610</v>
      </c>
      <c r="G52" s="0" t="s">
        <v>9</v>
      </c>
      <c r="H52" s="0" t="str">
        <f aca="false">"143-154"</f>
        <v>143-154</v>
      </c>
      <c r="I52" s="0" t="s">
        <v>9</v>
      </c>
      <c r="J52" s="0" t="str">
        <f aca="false">"161-172"</f>
        <v>161-172</v>
      </c>
      <c r="K52" s="0" t="str">
        <f aca="false">"0.99"</f>
        <v>0.99</v>
      </c>
      <c r="L52" s="0" t="str">
        <f aca="false">"13.85"</f>
        <v>13.85</v>
      </c>
      <c r="M52" s="0" t="str">
        <f aca="false">"102.0"</f>
        <v>102.0</v>
      </c>
    </row>
    <row r="53" customFormat="false" ht="12.8" hidden="false" customHeight="false" outlineLevel="0" collapsed="false">
      <c r="A53" s="0" t="s">
        <v>2559</v>
      </c>
      <c r="B53" s="0" t="s">
        <v>9</v>
      </c>
      <c r="C53" s="0" t="str">
        <f aca="false">"234-245"</f>
        <v>234-245</v>
      </c>
      <c r="D53" s="0" t="s">
        <v>9</v>
      </c>
      <c r="E53" s="0" t="str">
        <f aca="false">"282-293"</f>
        <v>282-293</v>
      </c>
      <c r="F53" s="0" t="s">
        <v>2611</v>
      </c>
      <c r="G53" s="0" t="s">
        <v>9</v>
      </c>
      <c r="H53" s="0" t="str">
        <f aca="false">"21-32"</f>
        <v>21-32</v>
      </c>
      <c r="I53" s="0" t="s">
        <v>9</v>
      </c>
      <c r="J53" s="0" t="str">
        <f aca="false">"305-316"</f>
        <v>305-316</v>
      </c>
      <c r="K53" s="0" t="str">
        <f aca="false">"0.96"</f>
        <v>0.96</v>
      </c>
      <c r="L53" s="0" t="str">
        <f aca="false">"14.65"</f>
        <v>14.65</v>
      </c>
      <c r="M53" s="0" t="str">
        <f aca="false">"111.9"</f>
        <v>111.9</v>
      </c>
    </row>
    <row r="54" customFormat="false" ht="12.8" hidden="false" customHeight="false" outlineLevel="0" collapsed="false">
      <c r="A54" s="0" t="s">
        <v>2559</v>
      </c>
      <c r="B54" s="0" t="s">
        <v>9</v>
      </c>
      <c r="C54" s="0" t="str">
        <f aca="false">"235-246"</f>
        <v>235-246</v>
      </c>
      <c r="D54" s="0" t="s">
        <v>9</v>
      </c>
      <c r="E54" s="0" t="str">
        <f aca="false">"285-296"</f>
        <v>285-296</v>
      </c>
      <c r="F54" s="0" t="s">
        <v>2612</v>
      </c>
      <c r="G54" s="0" t="s">
        <v>9</v>
      </c>
      <c r="H54" s="0" t="str">
        <f aca="false">"299-310"</f>
        <v>299-310</v>
      </c>
      <c r="I54" s="0" t="s">
        <v>9</v>
      </c>
      <c r="J54" s="0" t="str">
        <f aca="false">"196-207"</f>
        <v>196-207</v>
      </c>
      <c r="K54" s="0" t="str">
        <f aca="false">"1.23"</f>
        <v>1.23</v>
      </c>
      <c r="L54" s="0" t="str">
        <f aca="false">"12.59"</f>
        <v>12.59</v>
      </c>
      <c r="M54" s="0" t="str">
        <f aca="false">"109.8"</f>
        <v>109.8</v>
      </c>
    </row>
    <row r="55" customFormat="false" ht="12.8" hidden="false" customHeight="false" outlineLevel="0" collapsed="false">
      <c r="A55" s="0" t="s">
        <v>2559</v>
      </c>
      <c r="B55" s="0" t="s">
        <v>9</v>
      </c>
      <c r="C55" s="0" t="str">
        <f aca="false">"240-251"</f>
        <v>240-251</v>
      </c>
      <c r="D55" s="0" t="s">
        <v>9</v>
      </c>
      <c r="E55" s="0" t="str">
        <f aca="false">"283-294"</f>
        <v>283-294</v>
      </c>
      <c r="F55" s="0" t="s">
        <v>2613</v>
      </c>
      <c r="G55" s="0" t="s">
        <v>13</v>
      </c>
      <c r="H55" s="0" t="str">
        <f aca="false">"18-29"</f>
        <v>18-29</v>
      </c>
      <c r="I55" s="0" t="s">
        <v>9</v>
      </c>
      <c r="J55" s="0" t="str">
        <f aca="false">"234-245"</f>
        <v>234-245</v>
      </c>
      <c r="K55" s="0" t="str">
        <f aca="false">"1.25"</f>
        <v>1.25</v>
      </c>
      <c r="L55" s="0" t="str">
        <f aca="false">"10.56"</f>
        <v>10.56</v>
      </c>
      <c r="M55" s="0" t="str">
        <f aca="false">"89.6"</f>
        <v>89.6</v>
      </c>
    </row>
    <row r="56" customFormat="false" ht="12.8" hidden="false" customHeight="false" outlineLevel="0" collapsed="false">
      <c r="A56" s="0" t="s">
        <v>2559</v>
      </c>
      <c r="B56" s="0" t="s">
        <v>9</v>
      </c>
      <c r="C56" s="0" t="str">
        <f aca="false">"242-253"</f>
        <v>242-253</v>
      </c>
      <c r="D56" s="0" t="s">
        <v>9</v>
      </c>
      <c r="E56" s="0" t="str">
        <f aca="false">"285-296"</f>
        <v>285-296</v>
      </c>
      <c r="F56" s="0" t="s">
        <v>2614</v>
      </c>
      <c r="G56" s="0" t="s">
        <v>9</v>
      </c>
      <c r="H56" s="0" t="str">
        <f aca="false">"301-312"</f>
        <v>301-312</v>
      </c>
      <c r="I56" s="0" t="s">
        <v>9</v>
      </c>
      <c r="J56" s="0" t="str">
        <f aca="false">"286-297"</f>
        <v>286-297</v>
      </c>
      <c r="K56" s="0" t="str">
        <f aca="false">"1.22"</f>
        <v>1.22</v>
      </c>
      <c r="L56" s="0" t="str">
        <f aca="false">"11.16"</f>
        <v>11.16</v>
      </c>
      <c r="M56" s="0" t="str">
        <f aca="false">"118.3"</f>
        <v>118.3</v>
      </c>
    </row>
    <row r="57" customFormat="false" ht="12.8" hidden="false" customHeight="false" outlineLevel="0" collapsed="false">
      <c r="A57" s="0" t="s">
        <v>2559</v>
      </c>
      <c r="B57" s="0" t="s">
        <v>9</v>
      </c>
      <c r="C57" s="0" t="str">
        <f aca="false">"241-252"</f>
        <v>241-252</v>
      </c>
      <c r="D57" s="0" t="s">
        <v>9</v>
      </c>
      <c r="E57" s="0" t="str">
        <f aca="false">"285-296"</f>
        <v>285-296</v>
      </c>
      <c r="F57" s="0" t="s">
        <v>2615</v>
      </c>
      <c r="G57" s="0" t="s">
        <v>9</v>
      </c>
      <c r="H57" s="0" t="str">
        <f aca="false">"520-531"</f>
        <v>520-531</v>
      </c>
      <c r="I57" s="0" t="s">
        <v>9</v>
      </c>
      <c r="J57" s="0" t="str">
        <f aca="false">"410-421"</f>
        <v>410-421</v>
      </c>
      <c r="K57" s="0" t="str">
        <f aca="false">"1.10"</f>
        <v>1.10</v>
      </c>
      <c r="L57" s="0" t="str">
        <f aca="false">"11.43"</f>
        <v>11.43</v>
      </c>
      <c r="M57" s="0" t="str">
        <f aca="false">"105.9"</f>
        <v>105.9</v>
      </c>
    </row>
    <row r="58" customFormat="false" ht="12.8" hidden="false" customHeight="false" outlineLevel="0" collapsed="false">
      <c r="A58" s="0" t="s">
        <v>2559</v>
      </c>
      <c r="B58" s="0" t="s">
        <v>9</v>
      </c>
      <c r="C58" s="0" t="str">
        <f aca="false">"241-252"</f>
        <v>241-252</v>
      </c>
      <c r="D58" s="0" t="s">
        <v>9</v>
      </c>
      <c r="E58" s="0" t="str">
        <f aca="false">"282-293"</f>
        <v>282-293</v>
      </c>
      <c r="F58" s="0" t="s">
        <v>2616</v>
      </c>
      <c r="G58" s="0" t="s">
        <v>9</v>
      </c>
      <c r="H58" s="0" t="str">
        <f aca="false">"49-60"</f>
        <v>49-60</v>
      </c>
      <c r="I58" s="0" t="s">
        <v>9</v>
      </c>
      <c r="J58" s="0" t="str">
        <f aca="false">"66-77"</f>
        <v>66-77</v>
      </c>
      <c r="K58" s="0" t="str">
        <f aca="false">"1.10"</f>
        <v>1.10</v>
      </c>
      <c r="L58" s="0" t="str">
        <f aca="false">"11.18"</f>
        <v>11.18</v>
      </c>
      <c r="M58" s="0" t="str">
        <f aca="false">"115.2"</f>
        <v>115.2</v>
      </c>
    </row>
    <row r="59" customFormat="false" ht="12.8" hidden="false" customHeight="false" outlineLevel="0" collapsed="false">
      <c r="A59" s="0" t="s">
        <v>2559</v>
      </c>
      <c r="B59" s="0" t="s">
        <v>9</v>
      </c>
      <c r="C59" s="0" t="str">
        <f aca="false">"235-246"</f>
        <v>235-246</v>
      </c>
      <c r="D59" s="0" t="s">
        <v>9</v>
      </c>
      <c r="E59" s="0" t="str">
        <f aca="false">"287-298"</f>
        <v>287-298</v>
      </c>
      <c r="F59" s="0" t="s">
        <v>2617</v>
      </c>
      <c r="G59" s="0" t="s">
        <v>9</v>
      </c>
      <c r="H59" s="0" t="str">
        <f aca="false">"200-211"</f>
        <v>200-211</v>
      </c>
      <c r="I59" s="0" t="s">
        <v>9</v>
      </c>
      <c r="J59" s="0" t="str">
        <f aca="false">"280-291"</f>
        <v>280-291</v>
      </c>
      <c r="K59" s="0" t="str">
        <f aca="false">"1.05"</f>
        <v>1.05</v>
      </c>
      <c r="L59" s="0" t="str">
        <f aca="false">"12.01"</f>
        <v>12.01</v>
      </c>
      <c r="M59" s="0" t="str">
        <f aca="false">"111.3"</f>
        <v>111.3</v>
      </c>
    </row>
    <row r="60" customFormat="false" ht="12.8" hidden="false" customHeight="false" outlineLevel="0" collapsed="false">
      <c r="A60" s="0" t="s">
        <v>2559</v>
      </c>
      <c r="B60" s="0" t="s">
        <v>9</v>
      </c>
      <c r="C60" s="0" t="str">
        <f aca="false">"239-250"</f>
        <v>239-250</v>
      </c>
      <c r="D60" s="0" t="s">
        <v>9</v>
      </c>
      <c r="E60" s="0" t="str">
        <f aca="false">"285-296"</f>
        <v>285-296</v>
      </c>
      <c r="F60" s="0" t="s">
        <v>2618</v>
      </c>
      <c r="G60" s="0" t="s">
        <v>9</v>
      </c>
      <c r="H60" s="0" t="str">
        <f aca="false">"170-181"</f>
        <v>170-181</v>
      </c>
      <c r="I60" s="0" t="s">
        <v>9</v>
      </c>
      <c r="J60" s="0" t="str">
        <f aca="false">"61-72"</f>
        <v>61-72</v>
      </c>
      <c r="K60" s="0" t="str">
        <f aca="false">"1.00"</f>
        <v>1.00</v>
      </c>
      <c r="L60" s="0" t="str">
        <f aca="false">"11.06"</f>
        <v>11.06</v>
      </c>
      <c r="M60" s="0" t="str">
        <f aca="false">"117.8"</f>
        <v>117.8</v>
      </c>
    </row>
    <row r="61" customFormat="false" ht="12.8" hidden="false" customHeight="false" outlineLevel="0" collapsed="false">
      <c r="A61" s="0" t="s">
        <v>2559</v>
      </c>
      <c r="B61" s="0" t="s">
        <v>9</v>
      </c>
      <c r="C61" s="0" t="str">
        <f aca="false">"236-247"</f>
        <v>236-247</v>
      </c>
      <c r="D61" s="0" t="s">
        <v>9</v>
      </c>
      <c r="E61" s="0" t="str">
        <f aca="false">"283-294"</f>
        <v>283-294</v>
      </c>
      <c r="F61" s="0" t="s">
        <v>2619</v>
      </c>
      <c r="G61" s="0" t="s">
        <v>9</v>
      </c>
      <c r="H61" s="0" t="str">
        <f aca="false">"189-200"</f>
        <v>189-200</v>
      </c>
      <c r="I61" s="0" t="s">
        <v>13</v>
      </c>
      <c r="J61" s="0" t="str">
        <f aca="false">"189-200"</f>
        <v>189-200</v>
      </c>
      <c r="K61" s="0" t="str">
        <f aca="false">"1.15"</f>
        <v>1.15</v>
      </c>
      <c r="L61" s="0" t="str">
        <f aca="false">"10.06"</f>
        <v>10.06</v>
      </c>
      <c r="M61" s="0" t="str">
        <f aca="false">"102.7"</f>
        <v>102.7</v>
      </c>
    </row>
    <row r="62" customFormat="false" ht="12.8" hidden="false" customHeight="false" outlineLevel="0" collapsed="false">
      <c r="A62" s="0" t="s">
        <v>2559</v>
      </c>
      <c r="B62" s="0" t="s">
        <v>9</v>
      </c>
      <c r="C62" s="0" t="str">
        <f aca="false">"237-248"</f>
        <v>237-248</v>
      </c>
      <c r="D62" s="0" t="s">
        <v>9</v>
      </c>
      <c r="E62" s="0" t="str">
        <f aca="false">"286-297"</f>
        <v>286-297</v>
      </c>
      <c r="F62" s="0" t="s">
        <v>2620</v>
      </c>
      <c r="G62" s="0" t="s">
        <v>9</v>
      </c>
      <c r="H62" s="0" t="str">
        <f aca="false">"591-602"</f>
        <v>591-602</v>
      </c>
      <c r="I62" s="0" t="s">
        <v>9</v>
      </c>
      <c r="J62" s="0" t="str">
        <f aca="false">"606-617"</f>
        <v>606-617</v>
      </c>
      <c r="K62" s="0" t="str">
        <f aca="false">"1.17"</f>
        <v>1.17</v>
      </c>
      <c r="L62" s="0" t="str">
        <f aca="false">"12.54"</f>
        <v>12.54</v>
      </c>
      <c r="M62" s="0" t="str">
        <f aca="false">"113.8"</f>
        <v>113.8</v>
      </c>
    </row>
    <row r="63" customFormat="false" ht="12.8" hidden="false" customHeight="false" outlineLevel="0" collapsed="false">
      <c r="A63" s="0" t="s">
        <v>2559</v>
      </c>
      <c r="B63" s="0" t="s">
        <v>9</v>
      </c>
      <c r="C63" s="0" t="str">
        <f aca="false">"241-252"</f>
        <v>241-252</v>
      </c>
      <c r="D63" s="0" t="s">
        <v>9</v>
      </c>
      <c r="E63" s="0" t="str">
        <f aca="false">"286-297"</f>
        <v>286-297</v>
      </c>
      <c r="F63" s="0" t="s">
        <v>2621</v>
      </c>
      <c r="G63" s="0" t="s">
        <v>9</v>
      </c>
      <c r="H63" s="0" t="str">
        <f aca="false">"29-40"</f>
        <v>29-40</v>
      </c>
      <c r="I63" s="0" t="s">
        <v>9</v>
      </c>
      <c r="J63" s="0" t="str">
        <f aca="false">"76-87"</f>
        <v>76-87</v>
      </c>
      <c r="K63" s="0" t="str">
        <f aca="false">"1.19"</f>
        <v>1.19</v>
      </c>
      <c r="L63" s="0" t="str">
        <f aca="false">"11.30"</f>
        <v>11.30</v>
      </c>
      <c r="M63" s="0" t="str">
        <f aca="false">"90.0"</f>
        <v>90.0</v>
      </c>
    </row>
    <row r="64" customFormat="false" ht="12.8" hidden="false" customHeight="false" outlineLevel="0" collapsed="false">
      <c r="A64" s="0" t="s">
        <v>2559</v>
      </c>
      <c r="B64" s="0" t="s">
        <v>9</v>
      </c>
      <c r="C64" s="0" t="str">
        <f aca="false">"233-244"</f>
        <v>233-244</v>
      </c>
      <c r="D64" s="0" t="s">
        <v>9</v>
      </c>
      <c r="E64" s="0" t="str">
        <f aca="false">"284-295"</f>
        <v>284-295</v>
      </c>
      <c r="F64" s="0" t="s">
        <v>2622</v>
      </c>
      <c r="G64" s="0" t="s">
        <v>9</v>
      </c>
      <c r="H64" s="0" t="str">
        <f aca="false">"14-25"</f>
        <v>14-25</v>
      </c>
      <c r="I64" s="0" t="s">
        <v>9</v>
      </c>
      <c r="J64" s="0" t="str">
        <f aca="false">"94-105"</f>
        <v>94-105</v>
      </c>
      <c r="K64" s="0" t="str">
        <f aca="false">"1.11"</f>
        <v>1.11</v>
      </c>
      <c r="L64" s="0" t="str">
        <f aca="false">"13.81"</f>
        <v>13.81</v>
      </c>
      <c r="M64" s="0" t="str">
        <f aca="false">"100.8"</f>
        <v>100.8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0051020408163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9.65816326530612"/>
    <col collapsed="false" hidden="false" max="6" min="6" style="0" width="10.8724489795918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41836734693878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2623</v>
      </c>
      <c r="B2" s="0" t="s">
        <v>13</v>
      </c>
      <c r="C2" s="0" t="str">
        <f aca="false">"944-955"</f>
        <v>944-955</v>
      </c>
      <c r="D2" s="0" t="s">
        <v>13</v>
      </c>
      <c r="E2" s="0" t="str">
        <f aca="false">"993-1004"</f>
        <v>993-1004</v>
      </c>
      <c r="F2" s="0" t="s">
        <v>2624</v>
      </c>
      <c r="G2" s="0" t="s">
        <v>13</v>
      </c>
      <c r="H2" s="0" t="str">
        <f aca="false">"153-164"</f>
        <v>153-164</v>
      </c>
      <c r="I2" s="0" t="s">
        <v>9</v>
      </c>
      <c r="J2" s="0" t="str">
        <f aca="false">"125-136"</f>
        <v>125-136</v>
      </c>
      <c r="K2" s="0" t="str">
        <f aca="false">"1.00"</f>
        <v>1.00</v>
      </c>
      <c r="L2" s="0" t="str">
        <f aca="false">"10.31"</f>
        <v>10.31</v>
      </c>
      <c r="M2" s="0" t="str">
        <f aca="false">"-140.5"</f>
        <v>-140.5</v>
      </c>
    </row>
    <row r="3" customFormat="false" ht="12.8" hidden="false" customHeight="false" outlineLevel="0" collapsed="false">
      <c r="A3" s="0" t="s">
        <v>2623</v>
      </c>
      <c r="B3" s="0" t="s">
        <v>13</v>
      </c>
      <c r="C3" s="0" t="str">
        <f aca="false">"944-955"</f>
        <v>944-955</v>
      </c>
      <c r="D3" s="0" t="s">
        <v>13</v>
      </c>
      <c r="E3" s="0" t="str">
        <f aca="false">"993-1004"</f>
        <v>993-1004</v>
      </c>
      <c r="F3" s="0" t="s">
        <v>20</v>
      </c>
      <c r="G3" s="0" t="s">
        <v>9</v>
      </c>
      <c r="H3" s="0" t="str">
        <f aca="false">"33-44"</f>
        <v>33-44</v>
      </c>
      <c r="I3" s="0" t="s">
        <v>9</v>
      </c>
      <c r="J3" s="0" t="str">
        <f aca="false">"111-122"</f>
        <v>111-122</v>
      </c>
      <c r="K3" s="0" t="str">
        <f aca="false">"1.20"</f>
        <v>1.20</v>
      </c>
      <c r="L3" s="0" t="str">
        <f aca="false">"10.35"</f>
        <v>10.35</v>
      </c>
      <c r="M3" s="0" t="str">
        <f aca="false">"-154.0"</f>
        <v>-154.0</v>
      </c>
    </row>
    <row r="4" customFormat="false" ht="12.8" hidden="false" customHeight="false" outlineLevel="0" collapsed="false">
      <c r="A4" s="0" t="s">
        <v>2623</v>
      </c>
      <c r="B4" s="0" t="s">
        <v>13</v>
      </c>
      <c r="C4" s="0" t="str">
        <f aca="false">"944-955"</f>
        <v>944-955</v>
      </c>
      <c r="D4" s="0" t="s">
        <v>13</v>
      </c>
      <c r="E4" s="0" t="str">
        <f aca="false">"993-1004"</f>
        <v>993-1004</v>
      </c>
      <c r="F4" s="0" t="s">
        <v>2625</v>
      </c>
      <c r="G4" s="0" t="s">
        <v>9</v>
      </c>
      <c r="H4" s="0" t="str">
        <f aca="false">"184-195"</f>
        <v>184-195</v>
      </c>
      <c r="I4" s="0" t="s">
        <v>9</v>
      </c>
      <c r="J4" s="0" t="str">
        <f aca="false">"49-60"</f>
        <v>49-60</v>
      </c>
      <c r="K4" s="0" t="str">
        <f aca="false">"0.72"</f>
        <v>0.72</v>
      </c>
      <c r="L4" s="0" t="str">
        <f aca="false">"9.90"</f>
        <v>9.90</v>
      </c>
      <c r="M4" s="0" t="str">
        <f aca="false">"-155.9"</f>
        <v>-155.9</v>
      </c>
    </row>
    <row r="5" customFormat="false" ht="12.8" hidden="false" customHeight="false" outlineLevel="0" collapsed="false">
      <c r="A5" s="0" t="s">
        <v>2623</v>
      </c>
      <c r="B5" s="0" t="s">
        <v>13</v>
      </c>
      <c r="C5" s="0" t="str">
        <f aca="false">"944-955"</f>
        <v>944-955</v>
      </c>
      <c r="D5" s="0" t="s">
        <v>13</v>
      </c>
      <c r="E5" s="0" t="str">
        <f aca="false">"993-1004"</f>
        <v>993-1004</v>
      </c>
      <c r="F5" s="0" t="s">
        <v>1705</v>
      </c>
      <c r="G5" s="0" t="s">
        <v>9</v>
      </c>
      <c r="H5" s="0" t="str">
        <f aca="false">"22-33"</f>
        <v>22-33</v>
      </c>
      <c r="I5" s="0" t="s">
        <v>9</v>
      </c>
      <c r="J5" s="0" t="str">
        <f aca="false">"86-97"</f>
        <v>86-97</v>
      </c>
      <c r="K5" s="0" t="str">
        <f aca="false">"0.93"</f>
        <v>0.93</v>
      </c>
      <c r="L5" s="0" t="str">
        <f aca="false">"9.58"</f>
        <v>9.58</v>
      </c>
      <c r="M5" s="0" t="str">
        <f aca="false">"-157.4"</f>
        <v>-157.4</v>
      </c>
    </row>
    <row r="6" customFormat="false" ht="12.8" hidden="false" customHeight="false" outlineLevel="0" collapsed="false">
      <c r="A6" s="0" t="s">
        <v>2623</v>
      </c>
      <c r="B6" s="0" t="s">
        <v>13</v>
      </c>
      <c r="C6" s="0" t="str">
        <f aca="false">"944-955"</f>
        <v>944-955</v>
      </c>
      <c r="D6" s="0" t="s">
        <v>13</v>
      </c>
      <c r="E6" s="0" t="str">
        <f aca="false">"993-1004"</f>
        <v>993-1004</v>
      </c>
      <c r="F6" s="0" t="s">
        <v>2626</v>
      </c>
      <c r="G6" s="0" t="s">
        <v>9</v>
      </c>
      <c r="H6" s="0" t="str">
        <f aca="false">"271-282"</f>
        <v>271-282</v>
      </c>
      <c r="I6" s="0" t="s">
        <v>9</v>
      </c>
      <c r="J6" s="0" t="str">
        <f aca="false">"97-108"</f>
        <v>97-108</v>
      </c>
      <c r="K6" s="0" t="str">
        <f aca="false">"0.91"</f>
        <v>0.91</v>
      </c>
      <c r="L6" s="0" t="str">
        <f aca="false">"9.46"</f>
        <v>9.46</v>
      </c>
      <c r="M6" s="0" t="str">
        <f aca="false">"-151.5"</f>
        <v>-151.5</v>
      </c>
    </row>
    <row r="7" customFormat="false" ht="12.8" hidden="false" customHeight="false" outlineLevel="0" collapsed="false">
      <c r="A7" s="0" t="s">
        <v>2623</v>
      </c>
      <c r="B7" s="0" t="s">
        <v>13</v>
      </c>
      <c r="C7" s="0" t="str">
        <f aca="false">"944-955"</f>
        <v>944-955</v>
      </c>
      <c r="D7" s="0" t="s">
        <v>13</v>
      </c>
      <c r="E7" s="0" t="str">
        <f aca="false">"993-1004"</f>
        <v>993-1004</v>
      </c>
      <c r="F7" s="0" t="s">
        <v>45</v>
      </c>
      <c r="G7" s="0" t="s">
        <v>9</v>
      </c>
      <c r="H7" s="0" t="str">
        <f aca="false">"1744-1755"</f>
        <v>1744-1755</v>
      </c>
      <c r="I7" s="0" t="s">
        <v>9</v>
      </c>
      <c r="J7" s="0" t="str">
        <f aca="false">"1713-1724"</f>
        <v>1713-1724</v>
      </c>
      <c r="K7" s="0" t="str">
        <f aca="false">"1.12"</f>
        <v>1.12</v>
      </c>
      <c r="L7" s="0" t="str">
        <f aca="false">"10.83"</f>
        <v>10.83</v>
      </c>
      <c r="M7" s="0" t="str">
        <f aca="false">"-157.8"</f>
        <v>-157.8</v>
      </c>
    </row>
    <row r="8" customFormat="false" ht="12.8" hidden="false" customHeight="false" outlineLevel="0" collapsed="false">
      <c r="A8" s="0" t="s">
        <v>2623</v>
      </c>
      <c r="B8" s="0" t="s">
        <v>13</v>
      </c>
      <c r="C8" s="0" t="str">
        <f aca="false">"944-955"</f>
        <v>944-955</v>
      </c>
      <c r="D8" s="0" t="s">
        <v>13</v>
      </c>
      <c r="E8" s="0" t="str">
        <f aca="false">"993-1004"</f>
        <v>993-1004</v>
      </c>
      <c r="F8" s="0" t="s">
        <v>2627</v>
      </c>
      <c r="G8" s="0" t="s">
        <v>48</v>
      </c>
      <c r="H8" s="0" t="str">
        <f aca="false">"235-246"</f>
        <v>235-246</v>
      </c>
      <c r="I8" s="0" t="s">
        <v>48</v>
      </c>
      <c r="J8" s="0" t="str">
        <f aca="false">"11-22"</f>
        <v>11-22</v>
      </c>
      <c r="K8" s="0" t="str">
        <f aca="false">"0.92"</f>
        <v>0.92</v>
      </c>
      <c r="L8" s="0" t="str">
        <f aca="false">"9.39"</f>
        <v>9.39</v>
      </c>
      <c r="M8" s="0" t="str">
        <f aca="false">"-146.6"</f>
        <v>-146.6</v>
      </c>
    </row>
    <row r="9" customFormat="false" ht="12.8" hidden="false" customHeight="false" outlineLevel="0" collapsed="false">
      <c r="A9" s="0" t="s">
        <v>2623</v>
      </c>
      <c r="B9" s="0" t="s">
        <v>13</v>
      </c>
      <c r="C9" s="0" t="str">
        <f aca="false">"944-955"</f>
        <v>944-955</v>
      </c>
      <c r="D9" s="0" t="s">
        <v>13</v>
      </c>
      <c r="E9" s="0" t="str">
        <f aca="false">"993-1004"</f>
        <v>993-1004</v>
      </c>
      <c r="F9" s="0" t="s">
        <v>67</v>
      </c>
      <c r="G9" s="0" t="s">
        <v>9</v>
      </c>
      <c r="H9" s="0" t="str">
        <f aca="false">"125-136"</f>
        <v>125-136</v>
      </c>
      <c r="I9" s="0" t="s">
        <v>9</v>
      </c>
      <c r="J9" s="0" t="str">
        <f aca="false">"144-155"</f>
        <v>144-155</v>
      </c>
      <c r="K9" s="0" t="str">
        <f aca="false">"1.21"</f>
        <v>1.21</v>
      </c>
      <c r="L9" s="0" t="str">
        <f aca="false">"9.38"</f>
        <v>9.38</v>
      </c>
      <c r="M9" s="0" t="str">
        <f aca="false">"-158.0"</f>
        <v>-158.0</v>
      </c>
    </row>
    <row r="10" customFormat="false" ht="12.8" hidden="false" customHeight="false" outlineLevel="0" collapsed="false">
      <c r="A10" s="0" t="s">
        <v>2623</v>
      </c>
      <c r="B10" s="0" t="s">
        <v>13</v>
      </c>
      <c r="C10" s="0" t="str">
        <f aca="false">"944-955"</f>
        <v>944-955</v>
      </c>
      <c r="D10" s="0" t="s">
        <v>13</v>
      </c>
      <c r="E10" s="0" t="str">
        <f aca="false">"993-1004"</f>
        <v>993-1004</v>
      </c>
      <c r="F10" s="0" t="s">
        <v>77</v>
      </c>
      <c r="G10" s="0" t="s">
        <v>9</v>
      </c>
      <c r="H10" s="0" t="str">
        <f aca="false">"66-77"</f>
        <v>66-77</v>
      </c>
      <c r="I10" s="0" t="s">
        <v>13</v>
      </c>
      <c r="J10" s="0" t="str">
        <f aca="false">"80-91"</f>
        <v>80-91</v>
      </c>
      <c r="K10" s="0" t="str">
        <f aca="false">"1.14"</f>
        <v>1.14</v>
      </c>
      <c r="L10" s="0" t="str">
        <f aca="false">"10.09"</f>
        <v>10.09</v>
      </c>
      <c r="M10" s="0" t="str">
        <f aca="false">"-153.5"</f>
        <v>-153.5</v>
      </c>
    </row>
    <row r="11" customFormat="false" ht="12.8" hidden="false" customHeight="false" outlineLevel="0" collapsed="false">
      <c r="A11" s="0" t="s">
        <v>2623</v>
      </c>
      <c r="B11" s="0" t="s">
        <v>13</v>
      </c>
      <c r="C11" s="0" t="str">
        <f aca="false">"944-955"</f>
        <v>944-955</v>
      </c>
      <c r="D11" s="0" t="s">
        <v>13</v>
      </c>
      <c r="E11" s="0" t="str">
        <f aca="false">"993-1004"</f>
        <v>993-1004</v>
      </c>
      <c r="F11" s="0" t="s">
        <v>2628</v>
      </c>
      <c r="G11" s="0" t="s">
        <v>13</v>
      </c>
      <c r="H11" s="0" t="str">
        <f aca="false">"52-63"</f>
        <v>52-63</v>
      </c>
      <c r="I11" s="0" t="s">
        <v>13</v>
      </c>
      <c r="J11" s="0" t="str">
        <f aca="false">"83-94"</f>
        <v>83-94</v>
      </c>
      <c r="K11" s="0" t="str">
        <f aca="false">"1.03"</f>
        <v>1.03</v>
      </c>
      <c r="L11" s="0" t="str">
        <f aca="false">"9.53"</f>
        <v>9.53</v>
      </c>
      <c r="M11" s="0" t="str">
        <f aca="false">"-156.1"</f>
        <v>-156.1</v>
      </c>
    </row>
    <row r="12" customFormat="false" ht="12.8" hidden="false" customHeight="false" outlineLevel="0" collapsed="false">
      <c r="A12" s="0" t="s">
        <v>2623</v>
      </c>
      <c r="B12" s="0" t="s">
        <v>13</v>
      </c>
      <c r="C12" s="0" t="str">
        <f aca="false">"944-955"</f>
        <v>944-955</v>
      </c>
      <c r="D12" s="0" t="s">
        <v>13</v>
      </c>
      <c r="E12" s="0" t="str">
        <f aca="false">"993-1004"</f>
        <v>993-1004</v>
      </c>
      <c r="F12" s="0" t="s">
        <v>2629</v>
      </c>
      <c r="G12" s="0" t="s">
        <v>13</v>
      </c>
      <c r="H12" s="0" t="str">
        <f aca="false">"173-184"</f>
        <v>173-184</v>
      </c>
      <c r="I12" s="0" t="s">
        <v>9</v>
      </c>
      <c r="J12" s="0" t="str">
        <f aca="false">"147-158"</f>
        <v>147-158</v>
      </c>
      <c r="K12" s="0" t="str">
        <f aca="false">"1.18"</f>
        <v>1.18</v>
      </c>
      <c r="L12" s="0" t="str">
        <f aca="false">"9.98"</f>
        <v>9.98</v>
      </c>
      <c r="M12" s="0" t="str">
        <f aca="false">"-134.4"</f>
        <v>-134.4</v>
      </c>
    </row>
    <row r="13" customFormat="false" ht="12.8" hidden="false" customHeight="false" outlineLevel="0" collapsed="false">
      <c r="A13" s="0" t="s">
        <v>2623</v>
      </c>
      <c r="B13" s="0" t="s">
        <v>13</v>
      </c>
      <c r="C13" s="0" t="str">
        <f aca="false">"944-955"</f>
        <v>944-955</v>
      </c>
      <c r="D13" s="0" t="s">
        <v>13</v>
      </c>
      <c r="E13" s="0" t="str">
        <f aca="false">"993-1004"</f>
        <v>993-1004</v>
      </c>
      <c r="F13" s="0" t="s">
        <v>129</v>
      </c>
      <c r="G13" s="0" t="s">
        <v>13</v>
      </c>
      <c r="H13" s="0" t="str">
        <f aca="false">"347-358"</f>
        <v>347-358</v>
      </c>
      <c r="I13" s="0" t="s">
        <v>13</v>
      </c>
      <c r="J13" s="0" t="str">
        <f aca="false">"281-292"</f>
        <v>281-292</v>
      </c>
      <c r="K13" s="0" t="str">
        <f aca="false">"1.16"</f>
        <v>1.16</v>
      </c>
      <c r="L13" s="0" t="str">
        <f aca="false">"10.20"</f>
        <v>10.20</v>
      </c>
      <c r="M13" s="0" t="str">
        <f aca="false">"-148.7"</f>
        <v>-148.7</v>
      </c>
    </row>
    <row r="14" customFormat="false" ht="12.8" hidden="false" customHeight="false" outlineLevel="0" collapsed="false">
      <c r="A14" s="0" t="s">
        <v>2623</v>
      </c>
      <c r="B14" s="0" t="s">
        <v>13</v>
      </c>
      <c r="C14" s="0" t="str">
        <f aca="false">"944-955"</f>
        <v>944-955</v>
      </c>
      <c r="D14" s="0" t="s">
        <v>13</v>
      </c>
      <c r="E14" s="0" t="str">
        <f aca="false">"993-1004"</f>
        <v>993-1004</v>
      </c>
      <c r="F14" s="0" t="s">
        <v>1725</v>
      </c>
      <c r="G14" s="0" t="s">
        <v>13</v>
      </c>
      <c r="H14" s="0" t="str">
        <f aca="false">"90-101"</f>
        <v>90-101</v>
      </c>
      <c r="I14" s="0" t="s">
        <v>9</v>
      </c>
      <c r="J14" s="0" t="str">
        <f aca="false">"97-108"</f>
        <v>97-108</v>
      </c>
      <c r="K14" s="0" t="str">
        <f aca="false">"1.11"</f>
        <v>1.11</v>
      </c>
      <c r="L14" s="0" t="str">
        <f aca="false">"9.62"</f>
        <v>9.62</v>
      </c>
      <c r="M14" s="0" t="str">
        <f aca="false">"-150.6"</f>
        <v>-150.6</v>
      </c>
    </row>
    <row r="15" customFormat="false" ht="12.8" hidden="false" customHeight="false" outlineLevel="0" collapsed="false">
      <c r="A15" s="0" t="s">
        <v>2623</v>
      </c>
      <c r="B15" s="0" t="s">
        <v>13</v>
      </c>
      <c r="C15" s="0" t="str">
        <f aca="false">"944-955"</f>
        <v>944-955</v>
      </c>
      <c r="D15" s="0" t="s">
        <v>13</v>
      </c>
      <c r="E15" s="0" t="str">
        <f aca="false">"993-1004"</f>
        <v>993-1004</v>
      </c>
      <c r="F15" s="0" t="s">
        <v>150</v>
      </c>
      <c r="G15" s="0" t="s">
        <v>9</v>
      </c>
      <c r="H15" s="0" t="str">
        <f aca="false">"289-300"</f>
        <v>289-300</v>
      </c>
      <c r="I15" s="0" t="s">
        <v>9</v>
      </c>
      <c r="J15" s="0" t="str">
        <f aca="false">"137-148"</f>
        <v>137-148</v>
      </c>
      <c r="K15" s="0" t="str">
        <f aca="false">"0.70"</f>
        <v>0.70</v>
      </c>
      <c r="L15" s="0" t="str">
        <f aca="false">"8.51"</f>
        <v>8.51</v>
      </c>
      <c r="M15" s="0" t="str">
        <f aca="false">"-148.6"</f>
        <v>-148.6</v>
      </c>
    </row>
    <row r="16" customFormat="false" ht="12.8" hidden="false" customHeight="false" outlineLevel="0" collapsed="false">
      <c r="A16" s="0" t="s">
        <v>2623</v>
      </c>
      <c r="B16" s="0" t="s">
        <v>13</v>
      </c>
      <c r="C16" s="0" t="str">
        <f aca="false">"944-955"</f>
        <v>944-955</v>
      </c>
      <c r="D16" s="0" t="s">
        <v>13</v>
      </c>
      <c r="E16" s="0" t="str">
        <f aca="false">"993-1004"</f>
        <v>993-1004</v>
      </c>
      <c r="F16" s="0" t="s">
        <v>2630</v>
      </c>
      <c r="G16" s="0" t="s">
        <v>9</v>
      </c>
      <c r="H16" s="0" t="str">
        <f aca="false">"57-68"</f>
        <v>57-68</v>
      </c>
      <c r="I16" s="0" t="s">
        <v>9</v>
      </c>
      <c r="J16" s="0" t="str">
        <f aca="false">"20-31"</f>
        <v>20-31</v>
      </c>
      <c r="K16" s="0" t="str">
        <f aca="false">"0.77"</f>
        <v>0.77</v>
      </c>
      <c r="L16" s="0" t="str">
        <f aca="false">"9.63"</f>
        <v>9.63</v>
      </c>
      <c r="M16" s="0" t="str">
        <f aca="false">"-153.4"</f>
        <v>-153.4</v>
      </c>
    </row>
    <row r="17" customFormat="false" ht="12.8" hidden="false" customHeight="false" outlineLevel="0" collapsed="false">
      <c r="A17" s="0" t="s">
        <v>2623</v>
      </c>
      <c r="B17" s="0" t="s">
        <v>13</v>
      </c>
      <c r="C17" s="0" t="str">
        <f aca="false">"944-955"</f>
        <v>944-955</v>
      </c>
      <c r="D17" s="0" t="s">
        <v>13</v>
      </c>
      <c r="E17" s="0" t="str">
        <f aca="false">"993-1004"</f>
        <v>993-1004</v>
      </c>
      <c r="F17" s="0" t="s">
        <v>188</v>
      </c>
      <c r="G17" s="0" t="s">
        <v>13</v>
      </c>
      <c r="H17" s="0" t="str">
        <f aca="false">"63-74"</f>
        <v>63-74</v>
      </c>
      <c r="I17" s="0" t="s">
        <v>13</v>
      </c>
      <c r="J17" s="0" t="str">
        <f aca="false">"14-25"</f>
        <v>14-25</v>
      </c>
      <c r="K17" s="0" t="str">
        <f aca="false">"1.11"</f>
        <v>1.11</v>
      </c>
      <c r="L17" s="0" t="str">
        <f aca="false">"10.64"</f>
        <v>10.64</v>
      </c>
      <c r="M17" s="0" t="str">
        <f aca="false">"-160.2"</f>
        <v>-160.2</v>
      </c>
    </row>
    <row r="18" customFormat="false" ht="12.8" hidden="false" customHeight="false" outlineLevel="0" collapsed="false">
      <c r="A18" s="0" t="s">
        <v>2623</v>
      </c>
      <c r="B18" s="0" t="s">
        <v>13</v>
      </c>
      <c r="C18" s="0" t="str">
        <f aca="false">"944-955"</f>
        <v>944-955</v>
      </c>
      <c r="D18" s="0" t="s">
        <v>13</v>
      </c>
      <c r="E18" s="0" t="str">
        <f aca="false">"993-1004"</f>
        <v>993-1004</v>
      </c>
      <c r="F18" s="0" t="s">
        <v>2631</v>
      </c>
      <c r="G18" s="0" t="s">
        <v>9</v>
      </c>
      <c r="H18" s="0" t="str">
        <f aca="false">"125-136"</f>
        <v>125-136</v>
      </c>
      <c r="I18" s="0" t="s">
        <v>9</v>
      </c>
      <c r="J18" s="0" t="str">
        <f aca="false">"174-185"</f>
        <v>174-185</v>
      </c>
      <c r="K18" s="0" t="str">
        <f aca="false">"0.78"</f>
        <v>0.78</v>
      </c>
      <c r="L18" s="0" t="str">
        <f aca="false">"9.16"</f>
        <v>9.16</v>
      </c>
      <c r="M18" s="0" t="str">
        <f aca="false">"-158.2"</f>
        <v>-158.2</v>
      </c>
    </row>
    <row r="19" customFormat="false" ht="12.8" hidden="false" customHeight="false" outlineLevel="0" collapsed="false">
      <c r="A19" s="0" t="s">
        <v>2623</v>
      </c>
      <c r="B19" s="0" t="s">
        <v>13</v>
      </c>
      <c r="C19" s="0" t="str">
        <f aca="false">"944-955"</f>
        <v>944-955</v>
      </c>
      <c r="D19" s="0" t="s">
        <v>13</v>
      </c>
      <c r="E19" s="0" t="str">
        <f aca="false">"993-1004"</f>
        <v>993-1004</v>
      </c>
      <c r="F19" s="0" t="s">
        <v>2632</v>
      </c>
      <c r="G19" s="0" t="s">
        <v>9</v>
      </c>
      <c r="H19" s="0" t="str">
        <f aca="false">"339-350"</f>
        <v>339-350</v>
      </c>
      <c r="I19" s="0" t="s">
        <v>9</v>
      </c>
      <c r="J19" s="0" t="str">
        <f aca="false">"394-405"</f>
        <v>394-405</v>
      </c>
      <c r="K19" s="0" t="str">
        <f aca="false">"1.14"</f>
        <v>1.14</v>
      </c>
      <c r="L19" s="0" t="str">
        <f aca="false">"9.05"</f>
        <v>9.05</v>
      </c>
      <c r="M19" s="0" t="str">
        <f aca="false">"-148.4"</f>
        <v>-148.4</v>
      </c>
    </row>
    <row r="20" customFormat="false" ht="12.8" hidden="false" customHeight="false" outlineLevel="0" collapsed="false">
      <c r="A20" s="0" t="s">
        <v>2623</v>
      </c>
      <c r="B20" s="0" t="s">
        <v>13</v>
      </c>
      <c r="C20" s="0" t="str">
        <f aca="false">"944-955"</f>
        <v>944-955</v>
      </c>
      <c r="D20" s="0" t="s">
        <v>13</v>
      </c>
      <c r="E20" s="0" t="str">
        <f aca="false">"993-1004"</f>
        <v>993-1004</v>
      </c>
      <c r="F20" s="0" t="s">
        <v>2633</v>
      </c>
      <c r="G20" s="0" t="s">
        <v>9</v>
      </c>
      <c r="H20" s="0" t="str">
        <f aca="false">"69-80"</f>
        <v>69-80</v>
      </c>
      <c r="I20" s="0" t="s">
        <v>9</v>
      </c>
      <c r="J20" s="0" t="str">
        <f aca="false">"54-65"</f>
        <v>54-65</v>
      </c>
      <c r="K20" s="0" t="str">
        <f aca="false">"0.97"</f>
        <v>0.97</v>
      </c>
      <c r="L20" s="0" t="str">
        <f aca="false">"9.68"</f>
        <v>9.68</v>
      </c>
      <c r="M20" s="0" t="str">
        <f aca="false">"-160.9"</f>
        <v>-160.9</v>
      </c>
    </row>
    <row r="21" customFormat="false" ht="12.8" hidden="false" customHeight="false" outlineLevel="0" collapsed="false">
      <c r="A21" s="0" t="s">
        <v>2623</v>
      </c>
      <c r="B21" s="0" t="s">
        <v>13</v>
      </c>
      <c r="C21" s="0" t="str">
        <f aca="false">"944-955"</f>
        <v>944-955</v>
      </c>
      <c r="D21" s="0" t="s">
        <v>13</v>
      </c>
      <c r="E21" s="0" t="str">
        <f aca="false">"993-1004"</f>
        <v>993-1004</v>
      </c>
      <c r="F21" s="0" t="s">
        <v>2634</v>
      </c>
      <c r="G21" s="0" t="s">
        <v>9</v>
      </c>
      <c r="H21" s="0" t="str">
        <f aca="false">"138-149"</f>
        <v>138-149</v>
      </c>
      <c r="I21" s="0" t="s">
        <v>9</v>
      </c>
      <c r="J21" s="0" t="str">
        <f aca="false">"182-193"</f>
        <v>182-193</v>
      </c>
      <c r="K21" s="0" t="str">
        <f aca="false">"1.18"</f>
        <v>1.18</v>
      </c>
      <c r="L21" s="0" t="str">
        <f aca="false">"8.74"</f>
        <v>8.74</v>
      </c>
      <c r="M21" s="0" t="str">
        <f aca="false">"-157.4"</f>
        <v>-157.4</v>
      </c>
    </row>
    <row r="22" customFormat="false" ht="12.8" hidden="false" customHeight="false" outlineLevel="0" collapsed="false">
      <c r="A22" s="0" t="s">
        <v>2623</v>
      </c>
      <c r="B22" s="0" t="s">
        <v>13</v>
      </c>
      <c r="C22" s="0" t="str">
        <f aca="false">"944-955"</f>
        <v>944-955</v>
      </c>
      <c r="D22" s="0" t="s">
        <v>13</v>
      </c>
      <c r="E22" s="0" t="str">
        <f aca="false">"993-1004"</f>
        <v>993-1004</v>
      </c>
      <c r="F22" s="0" t="s">
        <v>2635</v>
      </c>
      <c r="G22" s="0" t="s">
        <v>13</v>
      </c>
      <c r="H22" s="0" t="str">
        <f aca="false">"11-22"</f>
        <v>11-22</v>
      </c>
      <c r="I22" s="0" t="s">
        <v>13</v>
      </c>
      <c r="J22" s="0" t="str">
        <f aca="false">"57-68"</f>
        <v>57-68</v>
      </c>
      <c r="K22" s="0" t="str">
        <f aca="false">"1.21"</f>
        <v>1.21</v>
      </c>
      <c r="L22" s="0" t="str">
        <f aca="false">"8.72"</f>
        <v>8.72</v>
      </c>
      <c r="M22" s="0" t="str">
        <f aca="false">"-163.1"</f>
        <v>-163.1</v>
      </c>
    </row>
    <row r="23" customFormat="false" ht="12.8" hidden="false" customHeight="false" outlineLevel="0" collapsed="false">
      <c r="A23" s="0" t="s">
        <v>2623</v>
      </c>
      <c r="B23" s="0" t="s">
        <v>13</v>
      </c>
      <c r="C23" s="0" t="str">
        <f aca="false">"944-955"</f>
        <v>944-955</v>
      </c>
      <c r="D23" s="0" t="s">
        <v>13</v>
      </c>
      <c r="E23" s="0" t="str">
        <f aca="false">"993-1004"</f>
        <v>993-1004</v>
      </c>
      <c r="F23" s="0" t="s">
        <v>2636</v>
      </c>
      <c r="G23" s="0" t="s">
        <v>9</v>
      </c>
      <c r="H23" s="0" t="str">
        <f aca="false">"177-188"</f>
        <v>177-188</v>
      </c>
      <c r="I23" s="0" t="s">
        <v>13</v>
      </c>
      <c r="J23" s="0" t="str">
        <f aca="false">"184-195"</f>
        <v>184-195</v>
      </c>
      <c r="K23" s="0" t="str">
        <f aca="false">"1.05"</f>
        <v>1.05</v>
      </c>
      <c r="L23" s="0" t="str">
        <f aca="false">"8.23"</f>
        <v>8.23</v>
      </c>
      <c r="M23" s="0" t="str">
        <f aca="false">"-148.9"</f>
        <v>-148.9</v>
      </c>
    </row>
    <row r="24" customFormat="false" ht="12.8" hidden="false" customHeight="false" outlineLevel="0" collapsed="false">
      <c r="A24" s="0" t="s">
        <v>2623</v>
      </c>
      <c r="B24" s="0" t="s">
        <v>13</v>
      </c>
      <c r="C24" s="0" t="str">
        <f aca="false">"944-955"</f>
        <v>944-955</v>
      </c>
      <c r="D24" s="0" t="s">
        <v>13</v>
      </c>
      <c r="E24" s="0" t="str">
        <f aca="false">"993-1004"</f>
        <v>993-1004</v>
      </c>
      <c r="F24" s="0" t="s">
        <v>2637</v>
      </c>
      <c r="G24" s="0" t="s">
        <v>9</v>
      </c>
      <c r="H24" s="0" t="str">
        <f aca="false">"161-172"</f>
        <v>161-172</v>
      </c>
      <c r="I24" s="0" t="s">
        <v>9</v>
      </c>
      <c r="J24" s="0" t="str">
        <f aca="false">"95-106"</f>
        <v>95-106</v>
      </c>
      <c r="K24" s="0" t="str">
        <f aca="false">"0.92"</f>
        <v>0.92</v>
      </c>
      <c r="L24" s="0" t="str">
        <f aca="false">"10.24"</f>
        <v>10.24</v>
      </c>
      <c r="M24" s="0" t="str">
        <f aca="false">"-145.7"</f>
        <v>-145.7</v>
      </c>
    </row>
    <row r="25" customFormat="false" ht="12.8" hidden="false" customHeight="false" outlineLevel="0" collapsed="false">
      <c r="A25" s="0" t="s">
        <v>2623</v>
      </c>
      <c r="B25" s="0" t="s">
        <v>13</v>
      </c>
      <c r="C25" s="0" t="str">
        <f aca="false">"944-955"</f>
        <v>944-955</v>
      </c>
      <c r="D25" s="0" t="s">
        <v>13</v>
      </c>
      <c r="E25" s="0" t="str">
        <f aca="false">"993-1004"</f>
        <v>993-1004</v>
      </c>
      <c r="F25" s="0" t="s">
        <v>2638</v>
      </c>
      <c r="G25" s="0" t="s">
        <v>13</v>
      </c>
      <c r="H25" s="0" t="str">
        <f aca="false">"14-25"</f>
        <v>14-25</v>
      </c>
      <c r="I25" s="0" t="s">
        <v>13</v>
      </c>
      <c r="J25" s="0" t="str">
        <f aca="false">"167-178"</f>
        <v>167-178</v>
      </c>
      <c r="K25" s="0" t="str">
        <f aca="false">"0.92"</f>
        <v>0.92</v>
      </c>
      <c r="L25" s="0" t="str">
        <f aca="false">"8.42"</f>
        <v>8.42</v>
      </c>
      <c r="M25" s="0" t="str">
        <f aca="false">"-152.2"</f>
        <v>-152.2</v>
      </c>
    </row>
    <row r="26" customFormat="false" ht="12.8" hidden="false" customHeight="false" outlineLevel="0" collapsed="false">
      <c r="A26" s="0" t="s">
        <v>2623</v>
      </c>
      <c r="B26" s="0" t="s">
        <v>13</v>
      </c>
      <c r="C26" s="0" t="str">
        <f aca="false">"944-955"</f>
        <v>944-955</v>
      </c>
      <c r="D26" s="0" t="s">
        <v>13</v>
      </c>
      <c r="E26" s="0" t="str">
        <f aca="false">"993-1004"</f>
        <v>993-1004</v>
      </c>
      <c r="F26" s="0" t="s">
        <v>272</v>
      </c>
      <c r="G26" s="0" t="s">
        <v>9</v>
      </c>
      <c r="H26" s="0" t="str">
        <f aca="false">"331-342"</f>
        <v>331-342</v>
      </c>
      <c r="I26" s="0" t="s">
        <v>9</v>
      </c>
      <c r="J26" s="0" t="str">
        <f aca="false">"281-292"</f>
        <v>281-292</v>
      </c>
      <c r="K26" s="0" t="str">
        <f aca="false">"1.24"</f>
        <v>1.24</v>
      </c>
      <c r="L26" s="0" t="str">
        <f aca="false">"9.27"</f>
        <v>9.27</v>
      </c>
      <c r="M26" s="0" t="str">
        <f aca="false">"-158.5"</f>
        <v>-158.5</v>
      </c>
    </row>
    <row r="27" customFormat="false" ht="12.8" hidden="false" customHeight="false" outlineLevel="0" collapsed="false">
      <c r="A27" s="0" t="s">
        <v>2623</v>
      </c>
      <c r="B27" s="0" t="s">
        <v>13</v>
      </c>
      <c r="C27" s="0" t="str">
        <f aca="false">"944-955"</f>
        <v>944-955</v>
      </c>
      <c r="D27" s="0" t="s">
        <v>13</v>
      </c>
      <c r="E27" s="0" t="str">
        <f aca="false">"993-1004"</f>
        <v>993-1004</v>
      </c>
      <c r="F27" s="0" t="s">
        <v>2639</v>
      </c>
      <c r="G27" s="0" t="s">
        <v>9</v>
      </c>
      <c r="H27" s="0" t="str">
        <f aca="false">"73-84"</f>
        <v>73-84</v>
      </c>
      <c r="I27" s="0" t="s">
        <v>9</v>
      </c>
      <c r="J27" s="0" t="str">
        <f aca="false">"26-37"</f>
        <v>26-37</v>
      </c>
      <c r="K27" s="0" t="str">
        <f aca="false">"1.20"</f>
        <v>1.20</v>
      </c>
      <c r="L27" s="0" t="str">
        <f aca="false">"8.85"</f>
        <v>8.85</v>
      </c>
      <c r="M27" s="0" t="str">
        <f aca="false">"-162.0"</f>
        <v>-162.0</v>
      </c>
    </row>
    <row r="28" customFormat="false" ht="12.8" hidden="false" customHeight="false" outlineLevel="0" collapsed="false">
      <c r="A28" s="0" t="s">
        <v>2623</v>
      </c>
      <c r="B28" s="0" t="s">
        <v>13</v>
      </c>
      <c r="C28" s="0" t="str">
        <f aca="false">"944-955"</f>
        <v>944-955</v>
      </c>
      <c r="D28" s="0" t="s">
        <v>13</v>
      </c>
      <c r="E28" s="0" t="str">
        <f aca="false">"993-1004"</f>
        <v>993-1004</v>
      </c>
      <c r="F28" s="0" t="s">
        <v>291</v>
      </c>
      <c r="G28" s="0" t="s">
        <v>9</v>
      </c>
      <c r="H28" s="0" t="str">
        <f aca="false">"92-103"</f>
        <v>92-103</v>
      </c>
      <c r="I28" s="0" t="s">
        <v>9</v>
      </c>
      <c r="J28" s="0" t="str">
        <f aca="false">"135-146"</f>
        <v>135-146</v>
      </c>
      <c r="K28" s="0" t="str">
        <f aca="false">"0.80"</f>
        <v>0.80</v>
      </c>
      <c r="L28" s="0" t="str">
        <f aca="false">"8.92"</f>
        <v>8.92</v>
      </c>
      <c r="M28" s="0" t="str">
        <f aca="false">"-135.8"</f>
        <v>-135.8</v>
      </c>
    </row>
    <row r="29" customFormat="false" ht="12.8" hidden="false" customHeight="false" outlineLevel="0" collapsed="false">
      <c r="A29" s="0" t="s">
        <v>2623</v>
      </c>
      <c r="B29" s="0" t="s">
        <v>13</v>
      </c>
      <c r="C29" s="0" t="str">
        <f aca="false">"944-955"</f>
        <v>944-955</v>
      </c>
      <c r="D29" s="0" t="s">
        <v>13</v>
      </c>
      <c r="E29" s="0" t="str">
        <f aca="false">"993-1004"</f>
        <v>993-1004</v>
      </c>
      <c r="F29" s="0" t="s">
        <v>2640</v>
      </c>
      <c r="G29" s="0" t="s">
        <v>9</v>
      </c>
      <c r="H29" s="0" t="str">
        <f aca="false">"228-239"</f>
        <v>228-239</v>
      </c>
      <c r="I29" s="0" t="s">
        <v>9</v>
      </c>
      <c r="J29" s="0" t="str">
        <f aca="false">"164-175"</f>
        <v>164-175</v>
      </c>
      <c r="K29" s="0" t="str">
        <f aca="false">"1.15"</f>
        <v>1.15</v>
      </c>
      <c r="L29" s="0" t="str">
        <f aca="false">"9.46"</f>
        <v>9.46</v>
      </c>
      <c r="M29" s="0" t="str">
        <f aca="false">"-142.5"</f>
        <v>-142.5</v>
      </c>
    </row>
    <row r="30" customFormat="false" ht="12.8" hidden="false" customHeight="false" outlineLevel="0" collapsed="false">
      <c r="A30" s="0" t="s">
        <v>2623</v>
      </c>
      <c r="B30" s="0" t="s">
        <v>13</v>
      </c>
      <c r="C30" s="0" t="str">
        <f aca="false">"944-955"</f>
        <v>944-955</v>
      </c>
      <c r="D30" s="0" t="s">
        <v>13</v>
      </c>
      <c r="E30" s="0" t="str">
        <f aca="false">"993-1004"</f>
        <v>993-1004</v>
      </c>
      <c r="F30" s="0" t="s">
        <v>2641</v>
      </c>
      <c r="G30" s="0" t="s">
        <v>13</v>
      </c>
      <c r="H30" s="0" t="str">
        <f aca="false">"326-337"</f>
        <v>326-337</v>
      </c>
      <c r="I30" s="0" t="s">
        <v>13</v>
      </c>
      <c r="J30" s="0" t="str">
        <f aca="false">"280-291"</f>
        <v>280-291</v>
      </c>
      <c r="K30" s="0" t="str">
        <f aca="false">"1.02"</f>
        <v>1.02</v>
      </c>
      <c r="L30" s="0" t="str">
        <f aca="false">"8.71"</f>
        <v>8.71</v>
      </c>
      <c r="M30" s="0" t="str">
        <f aca="false">"-156.0"</f>
        <v>-156.0</v>
      </c>
    </row>
    <row r="31" customFormat="false" ht="12.8" hidden="false" customHeight="false" outlineLevel="0" collapsed="false">
      <c r="A31" s="0" t="s">
        <v>2623</v>
      </c>
      <c r="B31" s="0" t="s">
        <v>13</v>
      </c>
      <c r="C31" s="0" t="str">
        <f aca="false">"944-955"</f>
        <v>944-955</v>
      </c>
      <c r="D31" s="0" t="s">
        <v>13</v>
      </c>
      <c r="E31" s="0" t="str">
        <f aca="false">"993-1004"</f>
        <v>993-1004</v>
      </c>
      <c r="F31" s="0" t="s">
        <v>2642</v>
      </c>
      <c r="G31" s="0" t="s">
        <v>9</v>
      </c>
      <c r="H31" s="0" t="str">
        <f aca="false">"47-58"</f>
        <v>47-58</v>
      </c>
      <c r="I31" s="0" t="s">
        <v>9</v>
      </c>
      <c r="J31" s="0" t="str">
        <f aca="false">"6-17"</f>
        <v>6-17</v>
      </c>
      <c r="K31" s="0" t="str">
        <f aca="false">"1.13"</f>
        <v>1.13</v>
      </c>
      <c r="L31" s="0" t="str">
        <f aca="false">"8.88"</f>
        <v>8.88</v>
      </c>
      <c r="M31" s="0" t="str">
        <f aca="false">"-159.9"</f>
        <v>-159.9</v>
      </c>
    </row>
    <row r="32" customFormat="false" ht="12.8" hidden="false" customHeight="false" outlineLevel="0" collapsed="false">
      <c r="A32" s="0" t="s">
        <v>2623</v>
      </c>
      <c r="B32" s="0" t="s">
        <v>13</v>
      </c>
      <c r="C32" s="0" t="str">
        <f aca="false">"944-955"</f>
        <v>944-955</v>
      </c>
      <c r="D32" s="0" t="s">
        <v>13</v>
      </c>
      <c r="E32" s="0" t="str">
        <f aca="false">"993-1004"</f>
        <v>993-1004</v>
      </c>
      <c r="F32" s="0" t="s">
        <v>463</v>
      </c>
      <c r="G32" s="0" t="s">
        <v>13</v>
      </c>
      <c r="H32" s="0" t="str">
        <f aca="false">"363-374"</f>
        <v>363-374</v>
      </c>
      <c r="I32" s="0" t="s">
        <v>13</v>
      </c>
      <c r="J32" s="0" t="str">
        <f aca="false">"405-416"</f>
        <v>405-416</v>
      </c>
      <c r="K32" s="0" t="str">
        <f aca="false">"1.18"</f>
        <v>1.18</v>
      </c>
      <c r="L32" s="0" t="str">
        <f aca="false">"9.19"</f>
        <v>9.19</v>
      </c>
      <c r="M32" s="0" t="str">
        <f aca="false">"-157.4"</f>
        <v>-157.4</v>
      </c>
    </row>
    <row r="33" customFormat="false" ht="12.8" hidden="false" customHeight="false" outlineLevel="0" collapsed="false">
      <c r="A33" s="0" t="s">
        <v>2623</v>
      </c>
      <c r="B33" s="0" t="s">
        <v>13</v>
      </c>
      <c r="C33" s="0" t="str">
        <f aca="false">"944-955"</f>
        <v>944-955</v>
      </c>
      <c r="D33" s="0" t="s">
        <v>13</v>
      </c>
      <c r="E33" s="0" t="str">
        <f aca="false">"993-1004"</f>
        <v>993-1004</v>
      </c>
      <c r="F33" s="0" t="s">
        <v>2643</v>
      </c>
      <c r="G33" s="0" t="s">
        <v>9</v>
      </c>
      <c r="H33" s="0" t="str">
        <f aca="false">"167-178"</f>
        <v>167-178</v>
      </c>
      <c r="I33" s="0" t="s">
        <v>9</v>
      </c>
      <c r="J33" s="0" t="str">
        <f aca="false">"198-209"</f>
        <v>198-209</v>
      </c>
      <c r="K33" s="0" t="str">
        <f aca="false">"1.09"</f>
        <v>1.09</v>
      </c>
      <c r="L33" s="0" t="str">
        <f aca="false">"8.54"</f>
        <v>8.54</v>
      </c>
      <c r="M33" s="0" t="str">
        <f aca="false">"-142.9"</f>
        <v>-142.9</v>
      </c>
    </row>
    <row r="34" customFormat="false" ht="12.8" hidden="false" customHeight="false" outlineLevel="0" collapsed="false">
      <c r="A34" s="0" t="s">
        <v>2623</v>
      </c>
      <c r="B34" s="0" t="s">
        <v>13</v>
      </c>
      <c r="C34" s="0" t="str">
        <f aca="false">"944-955"</f>
        <v>944-955</v>
      </c>
      <c r="D34" s="0" t="s">
        <v>13</v>
      </c>
      <c r="E34" s="0" t="str">
        <f aca="false">"993-1004"</f>
        <v>993-1004</v>
      </c>
      <c r="F34" s="0" t="s">
        <v>2644</v>
      </c>
      <c r="G34" s="0" t="s">
        <v>13</v>
      </c>
      <c r="H34" s="0" t="str">
        <f aca="false">"157-168"</f>
        <v>157-168</v>
      </c>
      <c r="I34" s="0" t="s">
        <v>13</v>
      </c>
      <c r="J34" s="0" t="str">
        <f aca="false">"139-150"</f>
        <v>139-150</v>
      </c>
      <c r="K34" s="0" t="str">
        <f aca="false">"0.97"</f>
        <v>0.97</v>
      </c>
      <c r="L34" s="0" t="str">
        <f aca="false">"8.57"</f>
        <v>8.57</v>
      </c>
      <c r="M34" s="0" t="str">
        <f aca="false">"-161.5"</f>
        <v>-161.5</v>
      </c>
    </row>
    <row r="35" customFormat="false" ht="12.8" hidden="false" customHeight="false" outlineLevel="0" collapsed="false">
      <c r="A35" s="0" t="s">
        <v>2623</v>
      </c>
      <c r="B35" s="0" t="s">
        <v>13</v>
      </c>
      <c r="C35" s="0" t="str">
        <f aca="false">"944-955"</f>
        <v>944-955</v>
      </c>
      <c r="D35" s="0" t="s">
        <v>13</v>
      </c>
      <c r="E35" s="0" t="str">
        <f aca="false">"993-1004"</f>
        <v>993-1004</v>
      </c>
      <c r="F35" s="0" t="s">
        <v>2645</v>
      </c>
      <c r="G35" s="0" t="s">
        <v>9</v>
      </c>
      <c r="H35" s="0" t="str">
        <f aca="false">"16-27"</f>
        <v>16-27</v>
      </c>
      <c r="I35" s="0" t="s">
        <v>9</v>
      </c>
      <c r="J35" s="0" t="str">
        <f aca="false">"139-150"</f>
        <v>139-150</v>
      </c>
      <c r="K35" s="0" t="str">
        <f aca="false">"0.96"</f>
        <v>0.96</v>
      </c>
      <c r="L35" s="0" t="str">
        <f aca="false">"8.16"</f>
        <v>8.16</v>
      </c>
      <c r="M35" s="0" t="str">
        <f aca="false">"-155.4"</f>
        <v>-155.4</v>
      </c>
    </row>
    <row r="36" customFormat="false" ht="12.8" hidden="false" customHeight="false" outlineLevel="0" collapsed="false">
      <c r="A36" s="0" t="s">
        <v>2623</v>
      </c>
      <c r="B36" s="0" t="s">
        <v>13</v>
      </c>
      <c r="C36" s="0" t="str">
        <f aca="false">"943-954"</f>
        <v>943-954</v>
      </c>
      <c r="D36" s="0" t="s">
        <v>13</v>
      </c>
      <c r="E36" s="0" t="str">
        <f aca="false">"994-1005"</f>
        <v>994-1005</v>
      </c>
      <c r="F36" s="0" t="s">
        <v>2646</v>
      </c>
      <c r="G36" s="0" t="s">
        <v>9</v>
      </c>
      <c r="H36" s="0" t="str">
        <f aca="false">"10-21"</f>
        <v>10-21</v>
      </c>
      <c r="I36" s="0" t="s">
        <v>9</v>
      </c>
      <c r="J36" s="0" t="str">
        <f aca="false">"24-35"</f>
        <v>24-35</v>
      </c>
      <c r="K36" s="0" t="str">
        <f aca="false">"1.17"</f>
        <v>1.17</v>
      </c>
      <c r="L36" s="0" t="str">
        <f aca="false">"9.99"</f>
        <v>9.99</v>
      </c>
      <c r="M36" s="0" t="str">
        <f aca="false">"-160.2"</f>
        <v>-160.2</v>
      </c>
    </row>
    <row r="37" customFormat="false" ht="12.8" hidden="false" customHeight="false" outlineLevel="0" collapsed="false">
      <c r="A37" s="0" t="s">
        <v>2623</v>
      </c>
      <c r="B37" s="0" t="s">
        <v>13</v>
      </c>
      <c r="C37" s="0" t="str">
        <f aca="false">"943-954"</f>
        <v>943-954</v>
      </c>
      <c r="D37" s="0" t="s">
        <v>13</v>
      </c>
      <c r="E37" s="0" t="str">
        <f aca="false">"993-1004"</f>
        <v>993-1004</v>
      </c>
      <c r="F37" s="0" t="s">
        <v>2647</v>
      </c>
      <c r="G37" s="0" t="s">
        <v>13</v>
      </c>
      <c r="H37" s="0" t="str">
        <f aca="false">"303-314"</f>
        <v>303-314</v>
      </c>
      <c r="I37" s="0" t="s">
        <v>9</v>
      </c>
      <c r="J37" s="0" t="str">
        <f aca="false">"68-79"</f>
        <v>68-79</v>
      </c>
      <c r="K37" s="0" t="str">
        <f aca="false">"1.11"</f>
        <v>1.11</v>
      </c>
      <c r="L37" s="0" t="str">
        <f aca="false">"10.80"</f>
        <v>10.80</v>
      </c>
      <c r="M37" s="0" t="str">
        <f aca="false">"-140.8"</f>
        <v>-140.8</v>
      </c>
    </row>
    <row r="38" customFormat="false" ht="12.8" hidden="false" customHeight="false" outlineLevel="0" collapsed="false">
      <c r="A38" s="0" t="s">
        <v>2623</v>
      </c>
      <c r="B38" s="0" t="s">
        <v>13</v>
      </c>
      <c r="C38" s="0" t="str">
        <f aca="false">"944-955"</f>
        <v>944-955</v>
      </c>
      <c r="D38" s="0" t="s">
        <v>13</v>
      </c>
      <c r="E38" s="0" t="str">
        <f aca="false">"993-1004"</f>
        <v>993-1004</v>
      </c>
      <c r="F38" s="0" t="s">
        <v>2648</v>
      </c>
      <c r="G38" s="0" t="s">
        <v>9</v>
      </c>
      <c r="H38" s="0" t="str">
        <f aca="false">"106-117"</f>
        <v>106-117</v>
      </c>
      <c r="I38" s="0" t="s">
        <v>13</v>
      </c>
      <c r="J38" s="0" t="str">
        <f aca="false">"106-117"</f>
        <v>106-117</v>
      </c>
      <c r="K38" s="0" t="str">
        <f aca="false">"1.00"</f>
        <v>1.00</v>
      </c>
      <c r="L38" s="0" t="str">
        <f aca="false">"9.45"</f>
        <v>9.45</v>
      </c>
      <c r="M38" s="0" t="str">
        <f aca="false">"-136.9"</f>
        <v>-136.9</v>
      </c>
    </row>
    <row r="39" customFormat="false" ht="12.8" hidden="false" customHeight="false" outlineLevel="0" collapsed="false">
      <c r="A39" s="0" t="s">
        <v>2623</v>
      </c>
      <c r="B39" s="0" t="s">
        <v>13</v>
      </c>
      <c r="C39" s="0" t="str">
        <f aca="false">"944-955"</f>
        <v>944-955</v>
      </c>
      <c r="D39" s="0" t="s">
        <v>13</v>
      </c>
      <c r="E39" s="0" t="str">
        <f aca="false">"993-1004"</f>
        <v>993-1004</v>
      </c>
      <c r="F39" s="0" t="s">
        <v>2649</v>
      </c>
      <c r="G39" s="0" t="s">
        <v>9</v>
      </c>
      <c r="H39" s="0" t="str">
        <f aca="false">"333-344"</f>
        <v>333-344</v>
      </c>
      <c r="I39" s="0" t="s">
        <v>9</v>
      </c>
      <c r="J39" s="0" t="str">
        <f aca="false">"51-62"</f>
        <v>51-62</v>
      </c>
      <c r="K39" s="0" t="str">
        <f aca="false">"0.82"</f>
        <v>0.82</v>
      </c>
      <c r="L39" s="0" t="str">
        <f aca="false">"8.70"</f>
        <v>8.70</v>
      </c>
      <c r="M39" s="0" t="str">
        <f aca="false">"-144.1"</f>
        <v>-144.1</v>
      </c>
    </row>
    <row r="40" customFormat="false" ht="12.8" hidden="false" customHeight="false" outlineLevel="0" collapsed="false">
      <c r="A40" s="0" t="s">
        <v>2623</v>
      </c>
      <c r="B40" s="0" t="s">
        <v>13</v>
      </c>
      <c r="C40" s="0" t="str">
        <f aca="false">"944-955"</f>
        <v>944-955</v>
      </c>
      <c r="D40" s="0" t="s">
        <v>13</v>
      </c>
      <c r="E40" s="0" t="str">
        <f aca="false">"993-1004"</f>
        <v>993-1004</v>
      </c>
      <c r="F40" s="0" t="s">
        <v>2650</v>
      </c>
      <c r="G40" s="0" t="s">
        <v>9</v>
      </c>
      <c r="H40" s="0" t="str">
        <f aca="false">"111-122"</f>
        <v>111-122</v>
      </c>
      <c r="I40" s="0" t="s">
        <v>13</v>
      </c>
      <c r="J40" s="0" t="str">
        <f aca="false">"111-122"</f>
        <v>111-122</v>
      </c>
      <c r="K40" s="0" t="str">
        <f aca="false">"0.82"</f>
        <v>0.82</v>
      </c>
      <c r="L40" s="0" t="str">
        <f aca="false">"8.37"</f>
        <v>8.37</v>
      </c>
      <c r="M40" s="0" t="str">
        <f aca="false">"-142.7"</f>
        <v>-142.7</v>
      </c>
    </row>
    <row r="41" customFormat="false" ht="12.8" hidden="false" customHeight="false" outlineLevel="0" collapsed="false">
      <c r="A41" s="0" t="s">
        <v>2623</v>
      </c>
      <c r="B41" s="0" t="s">
        <v>13</v>
      </c>
      <c r="C41" s="0" t="str">
        <f aca="false">"944-955"</f>
        <v>944-955</v>
      </c>
      <c r="D41" s="0" t="s">
        <v>13</v>
      </c>
      <c r="E41" s="0" t="str">
        <f aca="false">"995-1006"</f>
        <v>995-1006</v>
      </c>
      <c r="F41" s="0" t="s">
        <v>2651</v>
      </c>
      <c r="G41" s="0" t="s">
        <v>9</v>
      </c>
      <c r="H41" s="0" t="str">
        <f aca="false">"37-48"</f>
        <v>37-48</v>
      </c>
      <c r="I41" s="0" t="s">
        <v>9</v>
      </c>
      <c r="J41" s="0" t="str">
        <f aca="false">"18-29"</f>
        <v>18-29</v>
      </c>
      <c r="K41" s="0" t="str">
        <f aca="false">"1.23"</f>
        <v>1.23</v>
      </c>
      <c r="L41" s="0" t="str">
        <f aca="false">"9.48"</f>
        <v>9.48</v>
      </c>
      <c r="M41" s="0" t="str">
        <f aca="false">"-143.4"</f>
        <v>-143.4</v>
      </c>
    </row>
    <row r="42" customFormat="false" ht="12.8" hidden="false" customHeight="false" outlineLevel="0" collapsed="false">
      <c r="A42" s="0" t="s">
        <v>2623</v>
      </c>
      <c r="B42" s="0" t="s">
        <v>13</v>
      </c>
      <c r="C42" s="0" t="str">
        <f aca="false">"944-955"</f>
        <v>944-955</v>
      </c>
      <c r="D42" s="0" t="s">
        <v>13</v>
      </c>
      <c r="E42" s="0" t="str">
        <f aca="false">"994-1005"</f>
        <v>994-1005</v>
      </c>
      <c r="F42" s="0" t="s">
        <v>2652</v>
      </c>
      <c r="G42" s="0" t="s">
        <v>9</v>
      </c>
      <c r="H42" s="0" t="str">
        <f aca="false">"401-412"</f>
        <v>401-412</v>
      </c>
      <c r="I42" s="0" t="s">
        <v>9</v>
      </c>
      <c r="J42" s="0" t="str">
        <f aca="false">"419-430"</f>
        <v>419-430</v>
      </c>
      <c r="K42" s="0" t="str">
        <f aca="false">"1.20"</f>
        <v>1.20</v>
      </c>
      <c r="L42" s="0" t="str">
        <f aca="false">"10.21"</f>
        <v>10.21</v>
      </c>
      <c r="M42" s="0" t="str">
        <f aca="false">"-132.4"</f>
        <v>-132.4</v>
      </c>
    </row>
    <row r="43" customFormat="false" ht="12.8" hidden="false" customHeight="false" outlineLevel="0" collapsed="false">
      <c r="A43" s="0" t="s">
        <v>2623</v>
      </c>
      <c r="B43" s="0" t="s">
        <v>13</v>
      </c>
      <c r="C43" s="0" t="str">
        <f aca="false">"944-955"</f>
        <v>944-955</v>
      </c>
      <c r="D43" s="0" t="s">
        <v>13</v>
      </c>
      <c r="E43" s="0" t="str">
        <f aca="false">"993-1004"</f>
        <v>993-1004</v>
      </c>
      <c r="F43" s="0" t="s">
        <v>2653</v>
      </c>
      <c r="G43" s="0" t="s">
        <v>9</v>
      </c>
      <c r="H43" s="0" t="str">
        <f aca="false">"56-67"</f>
        <v>56-67</v>
      </c>
      <c r="I43" s="0" t="s">
        <v>13</v>
      </c>
      <c r="J43" s="0" t="str">
        <f aca="false">"56-67"</f>
        <v>56-67</v>
      </c>
      <c r="K43" s="0" t="str">
        <f aca="false">"0.80"</f>
        <v>0.80</v>
      </c>
      <c r="L43" s="0" t="str">
        <f aca="false">"8.44"</f>
        <v>8.44</v>
      </c>
      <c r="M43" s="0" t="str">
        <f aca="false">"-154.6"</f>
        <v>-154.6</v>
      </c>
    </row>
    <row r="44" customFormat="false" ht="12.8" hidden="false" customHeight="false" outlineLevel="0" collapsed="false">
      <c r="A44" s="0" t="s">
        <v>2623</v>
      </c>
      <c r="B44" s="0" t="s">
        <v>13</v>
      </c>
      <c r="C44" s="0" t="str">
        <f aca="false">"943-954"</f>
        <v>943-954</v>
      </c>
      <c r="D44" s="0" t="s">
        <v>13</v>
      </c>
      <c r="E44" s="0" t="str">
        <f aca="false">"993-1004"</f>
        <v>993-1004</v>
      </c>
      <c r="F44" s="0" t="s">
        <v>2654</v>
      </c>
      <c r="G44" s="0" t="s">
        <v>13</v>
      </c>
      <c r="H44" s="0" t="str">
        <f aca="false">"40-51"</f>
        <v>40-51</v>
      </c>
      <c r="I44" s="0" t="s">
        <v>13</v>
      </c>
      <c r="J44" s="0" t="str">
        <f aca="false">"17-28"</f>
        <v>17-28</v>
      </c>
      <c r="K44" s="0" t="str">
        <f aca="false">"1.03"</f>
        <v>1.03</v>
      </c>
      <c r="L44" s="0" t="str">
        <f aca="false">"9.19"</f>
        <v>9.19</v>
      </c>
      <c r="M44" s="0" t="str">
        <f aca="false">"-142.9"</f>
        <v>-142.9</v>
      </c>
    </row>
    <row r="45" customFormat="false" ht="12.8" hidden="false" customHeight="false" outlineLevel="0" collapsed="false">
      <c r="A45" s="0" t="s">
        <v>2623</v>
      </c>
      <c r="B45" s="0" t="s">
        <v>13</v>
      </c>
      <c r="C45" s="0" t="str">
        <f aca="false">"941-952"</f>
        <v>941-952</v>
      </c>
      <c r="D45" s="0" t="s">
        <v>13</v>
      </c>
      <c r="E45" s="0" t="str">
        <f aca="false">"995-1006"</f>
        <v>995-1006</v>
      </c>
      <c r="F45" s="0" t="s">
        <v>2655</v>
      </c>
      <c r="G45" s="0" t="s">
        <v>9</v>
      </c>
      <c r="H45" s="0" t="str">
        <f aca="false">"146-157"</f>
        <v>146-157</v>
      </c>
      <c r="I45" s="0" t="s">
        <v>9</v>
      </c>
      <c r="J45" s="0" t="str">
        <f aca="false">"165-176"</f>
        <v>165-176</v>
      </c>
      <c r="K45" s="0" t="str">
        <f aca="false">"1.18"</f>
        <v>1.18</v>
      </c>
      <c r="L45" s="0" t="str">
        <f aca="false">"9.32"</f>
        <v>9.32</v>
      </c>
      <c r="M45" s="0" t="str">
        <f aca="false">"-157.7"</f>
        <v>-157.7</v>
      </c>
    </row>
    <row r="46" customFormat="false" ht="12.8" hidden="false" customHeight="false" outlineLevel="0" collapsed="false">
      <c r="A46" s="0" t="s">
        <v>2623</v>
      </c>
      <c r="B46" s="0" t="s">
        <v>13</v>
      </c>
      <c r="C46" s="0" t="str">
        <f aca="false">"944-955"</f>
        <v>944-955</v>
      </c>
      <c r="D46" s="0" t="s">
        <v>13</v>
      </c>
      <c r="E46" s="0" t="str">
        <f aca="false">"993-1004"</f>
        <v>993-1004</v>
      </c>
      <c r="F46" s="0" t="s">
        <v>2656</v>
      </c>
      <c r="G46" s="0" t="s">
        <v>9</v>
      </c>
      <c r="H46" s="0" t="str">
        <f aca="false">"104-115"</f>
        <v>104-115</v>
      </c>
      <c r="I46" s="0" t="s">
        <v>9</v>
      </c>
      <c r="J46" s="0" t="str">
        <f aca="false">"36-47"</f>
        <v>36-47</v>
      </c>
      <c r="K46" s="0" t="str">
        <f aca="false">"1.10"</f>
        <v>1.10</v>
      </c>
      <c r="L46" s="0" t="str">
        <f aca="false">"8.72"</f>
        <v>8.72</v>
      </c>
      <c r="M46" s="0" t="str">
        <f aca="false">"-138.2"</f>
        <v>-138.2</v>
      </c>
    </row>
    <row r="47" customFormat="false" ht="12.8" hidden="false" customHeight="false" outlineLevel="0" collapsed="false">
      <c r="A47" s="0" t="s">
        <v>2623</v>
      </c>
      <c r="B47" s="0" t="s">
        <v>13</v>
      </c>
      <c r="C47" s="0" t="str">
        <f aca="false">"944-955"</f>
        <v>944-955</v>
      </c>
      <c r="D47" s="0" t="s">
        <v>13</v>
      </c>
      <c r="E47" s="0" t="str">
        <f aca="false">"993-1004"</f>
        <v>993-1004</v>
      </c>
      <c r="F47" s="0" t="s">
        <v>2657</v>
      </c>
      <c r="G47" s="0" t="s">
        <v>9</v>
      </c>
      <c r="H47" s="0" t="str">
        <f aca="false">"100-111"</f>
        <v>100-111</v>
      </c>
      <c r="I47" s="0" t="s">
        <v>9</v>
      </c>
      <c r="J47" s="0" t="str">
        <f aca="false">"31-42"</f>
        <v>31-42</v>
      </c>
      <c r="K47" s="0" t="str">
        <f aca="false">"1.09"</f>
        <v>1.09</v>
      </c>
      <c r="L47" s="0" t="str">
        <f aca="false">"8.64"</f>
        <v>8.64</v>
      </c>
      <c r="M47" s="0" t="str">
        <f aca="false">"-139.1"</f>
        <v>-139.1</v>
      </c>
    </row>
    <row r="48" customFormat="false" ht="12.8" hidden="false" customHeight="false" outlineLevel="0" collapsed="false">
      <c r="A48" s="0" t="s">
        <v>2623</v>
      </c>
      <c r="B48" s="0" t="s">
        <v>13</v>
      </c>
      <c r="C48" s="0" t="str">
        <f aca="false">"944-955"</f>
        <v>944-955</v>
      </c>
      <c r="D48" s="0" t="s">
        <v>13</v>
      </c>
      <c r="E48" s="0" t="str">
        <f aca="false">"993-1004"</f>
        <v>993-1004</v>
      </c>
      <c r="F48" s="0" t="s">
        <v>2658</v>
      </c>
      <c r="G48" s="0" t="s">
        <v>9</v>
      </c>
      <c r="H48" s="0" t="str">
        <f aca="false">"99-110"</f>
        <v>99-110</v>
      </c>
      <c r="I48" s="0" t="s">
        <v>13</v>
      </c>
      <c r="J48" s="0" t="str">
        <f aca="false">"99-110"</f>
        <v>99-110</v>
      </c>
      <c r="K48" s="0" t="str">
        <f aca="false">"0.91"</f>
        <v>0.91</v>
      </c>
      <c r="L48" s="0" t="str">
        <f aca="false">"7.84"</f>
        <v>7.84</v>
      </c>
      <c r="M48" s="0" t="str">
        <f aca="false">"-146.5"</f>
        <v>-146.5</v>
      </c>
    </row>
    <row r="49" customFormat="false" ht="12.8" hidden="false" customHeight="false" outlineLevel="0" collapsed="false">
      <c r="A49" s="0" t="s">
        <v>2623</v>
      </c>
      <c r="B49" s="0" t="s">
        <v>13</v>
      </c>
      <c r="C49" s="0" t="str">
        <f aca="false">"938-949"</f>
        <v>938-949</v>
      </c>
      <c r="D49" s="0" t="s">
        <v>13</v>
      </c>
      <c r="E49" s="0" t="str">
        <f aca="false">"993-1004"</f>
        <v>993-1004</v>
      </c>
      <c r="F49" s="0" t="s">
        <v>2659</v>
      </c>
      <c r="G49" s="0" t="s">
        <v>9</v>
      </c>
      <c r="H49" s="0" t="str">
        <f aca="false">"182-193"</f>
        <v>182-193</v>
      </c>
      <c r="I49" s="0" t="s">
        <v>9</v>
      </c>
      <c r="J49" s="0" t="str">
        <f aca="false">"11-22"</f>
        <v>11-22</v>
      </c>
      <c r="K49" s="0" t="str">
        <f aca="false">"0.93"</f>
        <v>0.93</v>
      </c>
      <c r="L49" s="0" t="str">
        <f aca="false">"12.99"</f>
        <v>12.99</v>
      </c>
      <c r="M49" s="0" t="str">
        <f aca="false">"-128.2"</f>
        <v>-128.2</v>
      </c>
    </row>
    <row r="50" customFormat="false" ht="12.8" hidden="false" customHeight="false" outlineLevel="0" collapsed="false">
      <c r="A50" s="0" t="s">
        <v>2623</v>
      </c>
      <c r="B50" s="0" t="s">
        <v>13</v>
      </c>
      <c r="C50" s="0" t="str">
        <f aca="false">"937-948"</f>
        <v>937-948</v>
      </c>
      <c r="D50" s="0" t="s">
        <v>13</v>
      </c>
      <c r="E50" s="0" t="str">
        <f aca="false">"996-1007"</f>
        <v>996-1007</v>
      </c>
      <c r="F50" s="0" t="s">
        <v>2660</v>
      </c>
      <c r="G50" s="0" t="s">
        <v>13</v>
      </c>
      <c r="H50" s="0" t="str">
        <f aca="false">"149-160"</f>
        <v>149-160</v>
      </c>
      <c r="I50" s="0" t="s">
        <v>9</v>
      </c>
      <c r="J50" s="0" t="str">
        <f aca="false">"131-142"</f>
        <v>131-142</v>
      </c>
      <c r="K50" s="0" t="str">
        <f aca="false">"0.78"</f>
        <v>0.78</v>
      </c>
      <c r="L50" s="0" t="str">
        <f aca="false">"13.61"</f>
        <v>13.61</v>
      </c>
      <c r="M50" s="0" t="str">
        <f aca="false">"-125.8"</f>
        <v>-125.8</v>
      </c>
    </row>
    <row r="51" customFormat="false" ht="12.8" hidden="false" customHeight="false" outlineLevel="0" collapsed="false">
      <c r="A51" s="0" t="s">
        <v>2623</v>
      </c>
      <c r="B51" s="0" t="s">
        <v>13</v>
      </c>
      <c r="C51" s="0" t="str">
        <f aca="false">"941-952"</f>
        <v>941-952</v>
      </c>
      <c r="D51" s="0" t="s">
        <v>13</v>
      </c>
      <c r="E51" s="0" t="str">
        <f aca="false">"996-1007"</f>
        <v>996-1007</v>
      </c>
      <c r="F51" s="0" t="s">
        <v>2661</v>
      </c>
      <c r="G51" s="0" t="s">
        <v>13</v>
      </c>
      <c r="H51" s="0" t="str">
        <f aca="false">"224-235"</f>
        <v>224-235</v>
      </c>
      <c r="I51" s="0" t="s">
        <v>13</v>
      </c>
      <c r="J51" s="0" t="str">
        <f aca="false">"243-254"</f>
        <v>243-254</v>
      </c>
      <c r="K51" s="0" t="str">
        <f aca="false">"1.16"</f>
        <v>1.16</v>
      </c>
      <c r="L51" s="0" t="str">
        <f aca="false">"10.02"</f>
        <v>10.02</v>
      </c>
      <c r="M51" s="0" t="str">
        <f aca="false">"-128.9"</f>
        <v>-128.9</v>
      </c>
    </row>
    <row r="52" customFormat="false" ht="12.8" hidden="false" customHeight="false" outlineLevel="0" collapsed="false">
      <c r="A52" s="0" t="s">
        <v>2623</v>
      </c>
      <c r="B52" s="0" t="s">
        <v>13</v>
      </c>
      <c r="C52" s="0" t="str">
        <f aca="false">"939-950"</f>
        <v>939-950</v>
      </c>
      <c r="D52" s="0" t="s">
        <v>13</v>
      </c>
      <c r="E52" s="0" t="str">
        <f aca="false">"996-1007"</f>
        <v>996-1007</v>
      </c>
      <c r="F52" s="0" t="s">
        <v>2662</v>
      </c>
      <c r="G52" s="0" t="s">
        <v>9</v>
      </c>
      <c r="H52" s="0" t="str">
        <f aca="false">"195-206"</f>
        <v>195-206</v>
      </c>
      <c r="I52" s="0" t="s">
        <v>9</v>
      </c>
      <c r="J52" s="0" t="str">
        <f aca="false">"238-249"</f>
        <v>238-249</v>
      </c>
      <c r="K52" s="0" t="str">
        <f aca="false">"1.07"</f>
        <v>1.07</v>
      </c>
      <c r="L52" s="0" t="str">
        <f aca="false">"12.03"</f>
        <v>12.03</v>
      </c>
      <c r="M52" s="0" t="str">
        <f aca="false">"-138.8"</f>
        <v>-138.8</v>
      </c>
    </row>
    <row r="53" customFormat="false" ht="12.8" hidden="false" customHeight="false" outlineLevel="0" collapsed="false">
      <c r="A53" s="0" t="s">
        <v>2623</v>
      </c>
      <c r="B53" s="0" t="s">
        <v>13</v>
      </c>
      <c r="C53" s="0" t="str">
        <f aca="false">"943-954"</f>
        <v>943-954</v>
      </c>
      <c r="D53" s="0" t="s">
        <v>13</v>
      </c>
      <c r="E53" s="0" t="str">
        <f aca="false">"994-1005"</f>
        <v>994-1005</v>
      </c>
      <c r="F53" s="0" t="s">
        <v>2663</v>
      </c>
      <c r="G53" s="0" t="s">
        <v>9</v>
      </c>
      <c r="H53" s="0" t="str">
        <f aca="false">"6-17"</f>
        <v>6-17</v>
      </c>
      <c r="I53" s="0" t="s">
        <v>9</v>
      </c>
      <c r="J53" s="0" t="str">
        <f aca="false">"28-39"</f>
        <v>28-39</v>
      </c>
      <c r="K53" s="0" t="str">
        <f aca="false">"0.93"</f>
        <v>0.93</v>
      </c>
      <c r="L53" s="0" t="str">
        <f aca="false">"10.21"</f>
        <v>10.21</v>
      </c>
      <c r="M53" s="0" t="str">
        <f aca="false">"-136.6"</f>
        <v>-136.6</v>
      </c>
    </row>
    <row r="54" customFormat="false" ht="12.8" hidden="false" customHeight="false" outlineLevel="0" collapsed="false">
      <c r="A54" s="0" t="s">
        <v>2623</v>
      </c>
      <c r="B54" s="0" t="s">
        <v>13</v>
      </c>
      <c r="C54" s="0" t="str">
        <f aca="false">"943-954"</f>
        <v>943-954</v>
      </c>
      <c r="D54" s="0" t="s">
        <v>13</v>
      </c>
      <c r="E54" s="0" t="str">
        <f aca="false">"994-1005"</f>
        <v>994-1005</v>
      </c>
      <c r="F54" s="0" t="s">
        <v>2664</v>
      </c>
      <c r="G54" s="0" t="s">
        <v>9</v>
      </c>
      <c r="H54" s="0" t="str">
        <f aca="false">"148-159"</f>
        <v>148-159</v>
      </c>
      <c r="I54" s="0" t="s">
        <v>9</v>
      </c>
      <c r="J54" s="0" t="str">
        <f aca="false">"23-34"</f>
        <v>23-34</v>
      </c>
      <c r="K54" s="0" t="str">
        <f aca="false">"0.93"</f>
        <v>0.93</v>
      </c>
      <c r="L54" s="0" t="str">
        <f aca="false">"9.42"</f>
        <v>9.42</v>
      </c>
      <c r="M54" s="0" t="str">
        <f aca="false">"-138.3"</f>
        <v>-138.3</v>
      </c>
    </row>
    <row r="55" customFormat="false" ht="12.8" hidden="false" customHeight="false" outlineLevel="0" collapsed="false">
      <c r="A55" s="0" t="s">
        <v>2623</v>
      </c>
      <c r="B55" s="0" t="s">
        <v>13</v>
      </c>
      <c r="C55" s="0" t="str">
        <f aca="false">"943-954"</f>
        <v>943-954</v>
      </c>
      <c r="D55" s="0" t="s">
        <v>13</v>
      </c>
      <c r="E55" s="0" t="str">
        <f aca="false">"993-1004"</f>
        <v>993-1004</v>
      </c>
      <c r="F55" s="0" t="s">
        <v>2665</v>
      </c>
      <c r="G55" s="0" t="s">
        <v>9</v>
      </c>
      <c r="H55" s="0" t="str">
        <f aca="false">"116-127"</f>
        <v>116-127</v>
      </c>
      <c r="I55" s="0" t="s">
        <v>9</v>
      </c>
      <c r="J55" s="0" t="str">
        <f aca="false">"95-106"</f>
        <v>95-106</v>
      </c>
      <c r="K55" s="0" t="str">
        <f aca="false">"0.91"</f>
        <v>0.91</v>
      </c>
      <c r="L55" s="0" t="str">
        <f aca="false">"9.73"</f>
        <v>9.73</v>
      </c>
      <c r="M55" s="0" t="str">
        <f aca="false">"-138.4"</f>
        <v>-138.4</v>
      </c>
    </row>
    <row r="56" customFormat="false" ht="12.8" hidden="false" customHeight="false" outlineLevel="0" collapsed="false">
      <c r="A56" s="0" t="s">
        <v>2623</v>
      </c>
      <c r="B56" s="0" t="s">
        <v>13</v>
      </c>
      <c r="C56" s="0" t="str">
        <f aca="false">"939-950"</f>
        <v>939-950</v>
      </c>
      <c r="D56" s="0" t="s">
        <v>13</v>
      </c>
      <c r="E56" s="0" t="str">
        <f aca="false">"997-1008"</f>
        <v>997-1008</v>
      </c>
      <c r="F56" s="0" t="s">
        <v>2666</v>
      </c>
      <c r="G56" s="0" t="s">
        <v>9</v>
      </c>
      <c r="H56" s="0" t="str">
        <f aca="false">"108-119"</f>
        <v>108-119</v>
      </c>
      <c r="I56" s="0" t="s">
        <v>9</v>
      </c>
      <c r="J56" s="0" t="str">
        <f aca="false">"122-133"</f>
        <v>122-133</v>
      </c>
      <c r="K56" s="0" t="str">
        <f aca="false">"0.99"</f>
        <v>0.99</v>
      </c>
      <c r="L56" s="0" t="str">
        <f aca="false">"11.65"</f>
        <v>11.65</v>
      </c>
      <c r="M56" s="0" t="str">
        <f aca="false">"-137.4"</f>
        <v>-137.4</v>
      </c>
    </row>
    <row r="57" customFormat="false" ht="12.8" hidden="false" customHeight="false" outlineLevel="0" collapsed="false">
      <c r="A57" s="0" t="s">
        <v>2623</v>
      </c>
      <c r="B57" s="0" t="s">
        <v>13</v>
      </c>
      <c r="C57" s="0" t="str">
        <f aca="false">"947-958"</f>
        <v>947-958</v>
      </c>
      <c r="D57" s="0" t="s">
        <v>13</v>
      </c>
      <c r="E57" s="0" t="str">
        <f aca="false">"996-1007"</f>
        <v>996-1007</v>
      </c>
      <c r="F57" s="0" t="s">
        <v>2667</v>
      </c>
      <c r="G57" s="0" t="s">
        <v>24</v>
      </c>
      <c r="H57" s="0" t="str">
        <f aca="false">"40-51"</f>
        <v>40-51</v>
      </c>
      <c r="I57" s="0" t="s">
        <v>9</v>
      </c>
      <c r="J57" s="0" t="str">
        <f aca="false">"40-51"</f>
        <v>40-51</v>
      </c>
      <c r="K57" s="0" t="str">
        <f aca="false">"1.01"</f>
        <v>1.01</v>
      </c>
      <c r="L57" s="0" t="str">
        <f aca="false">"12.76"</f>
        <v>12.76</v>
      </c>
      <c r="M57" s="0" t="str">
        <f aca="false">"-162.4"</f>
        <v>-162.4</v>
      </c>
    </row>
    <row r="58" customFormat="false" ht="12.8" hidden="false" customHeight="false" outlineLevel="0" collapsed="false">
      <c r="A58" s="0" t="s">
        <v>2623</v>
      </c>
      <c r="B58" s="0" t="s">
        <v>13</v>
      </c>
      <c r="C58" s="0" t="str">
        <f aca="false">"944-955"</f>
        <v>944-955</v>
      </c>
      <c r="D58" s="0" t="s">
        <v>13</v>
      </c>
      <c r="E58" s="0" t="str">
        <f aca="false">"993-1004"</f>
        <v>993-1004</v>
      </c>
      <c r="F58" s="0" t="s">
        <v>2668</v>
      </c>
      <c r="G58" s="0" t="s">
        <v>9</v>
      </c>
      <c r="H58" s="0" t="str">
        <f aca="false">"56-67"</f>
        <v>56-67</v>
      </c>
      <c r="I58" s="0" t="s">
        <v>13</v>
      </c>
      <c r="J58" s="0" t="str">
        <f aca="false">"84-95"</f>
        <v>84-95</v>
      </c>
      <c r="K58" s="0" t="str">
        <f aca="false">"1.19"</f>
        <v>1.19</v>
      </c>
      <c r="L58" s="0" t="str">
        <f aca="false">"8.57"</f>
        <v>8.57</v>
      </c>
      <c r="M58" s="0" t="str">
        <f aca="false">"-127.7"</f>
        <v>-127.7</v>
      </c>
    </row>
    <row r="59" customFormat="false" ht="12.8" hidden="false" customHeight="false" outlineLevel="0" collapsed="false">
      <c r="A59" s="0" t="s">
        <v>2623</v>
      </c>
      <c r="B59" s="0" t="s">
        <v>13</v>
      </c>
      <c r="C59" s="0" t="str">
        <f aca="false">"945-956"</f>
        <v>945-956</v>
      </c>
      <c r="D59" s="0" t="s">
        <v>13</v>
      </c>
      <c r="E59" s="0" t="str">
        <f aca="false">"996-1007"</f>
        <v>996-1007</v>
      </c>
      <c r="F59" s="0" t="s">
        <v>2669</v>
      </c>
      <c r="G59" s="0" t="s">
        <v>9</v>
      </c>
      <c r="H59" s="0" t="str">
        <f aca="false">"199-210"</f>
        <v>199-210</v>
      </c>
      <c r="I59" s="0" t="s">
        <v>9</v>
      </c>
      <c r="J59" s="0" t="str">
        <f aca="false">"218-229"</f>
        <v>218-229</v>
      </c>
      <c r="K59" s="0" t="str">
        <f aca="false">"0.90"</f>
        <v>0.90</v>
      </c>
      <c r="L59" s="0" t="str">
        <f aca="false">"11.94"</f>
        <v>11.94</v>
      </c>
      <c r="M59" s="0" t="str">
        <f aca="false">"-151.8"</f>
        <v>-151.8</v>
      </c>
    </row>
    <row r="60" customFormat="false" ht="12.8" hidden="false" customHeight="false" outlineLevel="0" collapsed="false">
      <c r="A60" s="0" t="s">
        <v>2623</v>
      </c>
      <c r="B60" s="0" t="s">
        <v>13</v>
      </c>
      <c r="C60" s="0" t="str">
        <f aca="false">"941-952"</f>
        <v>941-952</v>
      </c>
      <c r="D60" s="0" t="s">
        <v>13</v>
      </c>
      <c r="E60" s="0" t="str">
        <f aca="false">"996-1007"</f>
        <v>996-1007</v>
      </c>
      <c r="F60" s="0" t="s">
        <v>2670</v>
      </c>
      <c r="G60" s="0" t="s">
        <v>13</v>
      </c>
      <c r="H60" s="0" t="str">
        <f aca="false">"155-166"</f>
        <v>155-166</v>
      </c>
      <c r="I60" s="0" t="s">
        <v>13</v>
      </c>
      <c r="J60" s="0" t="str">
        <f aca="false">"173-184"</f>
        <v>173-184</v>
      </c>
      <c r="K60" s="0" t="str">
        <f aca="false">"1.19"</f>
        <v>1.19</v>
      </c>
      <c r="L60" s="0" t="str">
        <f aca="false">"9.37"</f>
        <v>9.37</v>
      </c>
      <c r="M60" s="0" t="str">
        <f aca="false">"-153.6"</f>
        <v>-153.6</v>
      </c>
    </row>
    <row r="61" customFormat="false" ht="12.8" hidden="false" customHeight="false" outlineLevel="0" collapsed="false">
      <c r="A61" s="0" t="s">
        <v>2623</v>
      </c>
      <c r="B61" s="0" t="s">
        <v>13</v>
      </c>
      <c r="C61" s="0" t="str">
        <f aca="false">"938-949"</f>
        <v>938-949</v>
      </c>
      <c r="D61" s="0" t="s">
        <v>13</v>
      </c>
      <c r="E61" s="0" t="str">
        <f aca="false">"996-1007"</f>
        <v>996-1007</v>
      </c>
      <c r="F61" s="0" t="s">
        <v>2671</v>
      </c>
      <c r="G61" s="0" t="s">
        <v>9</v>
      </c>
      <c r="H61" s="0" t="str">
        <f aca="false">"56-67"</f>
        <v>56-67</v>
      </c>
      <c r="I61" s="0" t="s">
        <v>9</v>
      </c>
      <c r="J61" s="0" t="str">
        <f aca="false">"11-22"</f>
        <v>11-22</v>
      </c>
      <c r="K61" s="0" t="str">
        <f aca="false">"1.25"</f>
        <v>1.25</v>
      </c>
      <c r="L61" s="0" t="str">
        <f aca="false">"12.76"</f>
        <v>12.76</v>
      </c>
      <c r="M61" s="0" t="str">
        <f aca="false">"-149.2"</f>
        <v>-149.2</v>
      </c>
    </row>
    <row r="62" customFormat="false" ht="12.8" hidden="false" customHeight="false" outlineLevel="0" collapsed="false">
      <c r="A62" s="0" t="s">
        <v>2623</v>
      </c>
      <c r="B62" s="0" t="s">
        <v>13</v>
      </c>
      <c r="C62" s="0" t="str">
        <f aca="false">"938-949"</f>
        <v>938-949</v>
      </c>
      <c r="D62" s="0" t="s">
        <v>13</v>
      </c>
      <c r="E62" s="0" t="str">
        <f aca="false">"997-1008"</f>
        <v>997-1008</v>
      </c>
      <c r="F62" s="0" t="s">
        <v>2672</v>
      </c>
      <c r="G62" s="0" t="s">
        <v>71</v>
      </c>
      <c r="H62" s="0" t="str">
        <f aca="false">"285-296"</f>
        <v>285-296</v>
      </c>
      <c r="I62" s="0" t="s">
        <v>71</v>
      </c>
      <c r="J62" s="0" t="str">
        <f aca="false">"339-350"</f>
        <v>339-350</v>
      </c>
      <c r="K62" s="0" t="str">
        <f aca="false">"1.22"</f>
        <v>1.22</v>
      </c>
      <c r="L62" s="0" t="str">
        <f aca="false">"11.73"</f>
        <v>11.73</v>
      </c>
      <c r="M62" s="0" t="str">
        <f aca="false">"-151.4"</f>
        <v>-151.4</v>
      </c>
    </row>
    <row r="63" customFormat="false" ht="12.8" hidden="false" customHeight="false" outlineLevel="0" collapsed="false">
      <c r="A63" s="0" t="s">
        <v>2623</v>
      </c>
      <c r="B63" s="0" t="s">
        <v>13</v>
      </c>
      <c r="C63" s="0" t="str">
        <f aca="false">"938-949"</f>
        <v>938-949</v>
      </c>
      <c r="D63" s="0" t="s">
        <v>13</v>
      </c>
      <c r="E63" s="0" t="str">
        <f aca="false">"997-1008"</f>
        <v>997-1008</v>
      </c>
      <c r="F63" s="0" t="s">
        <v>2673</v>
      </c>
      <c r="G63" s="0" t="s">
        <v>9</v>
      </c>
      <c r="H63" s="0" t="str">
        <f aca="false">"218-229"</f>
        <v>218-229</v>
      </c>
      <c r="I63" s="0" t="s">
        <v>9</v>
      </c>
      <c r="J63" s="0" t="str">
        <f aca="false">"233-244"</f>
        <v>233-244</v>
      </c>
      <c r="K63" s="0" t="str">
        <f aca="false">"1.00"</f>
        <v>1.00</v>
      </c>
      <c r="L63" s="0" t="str">
        <f aca="false">"11.77"</f>
        <v>11.77</v>
      </c>
      <c r="M63" s="0" t="str">
        <f aca="false">"-123.8"</f>
        <v>-123.8</v>
      </c>
    </row>
    <row r="64" customFormat="false" ht="12.8" hidden="false" customHeight="false" outlineLevel="0" collapsed="false">
      <c r="A64" s="0" t="s">
        <v>2623</v>
      </c>
      <c r="B64" s="0" t="s">
        <v>13</v>
      </c>
      <c r="C64" s="0" t="str">
        <f aca="false">"938-949"</f>
        <v>938-949</v>
      </c>
      <c r="D64" s="0" t="s">
        <v>13</v>
      </c>
      <c r="E64" s="0" t="str">
        <f aca="false">"997-1008"</f>
        <v>997-1008</v>
      </c>
      <c r="F64" s="0" t="s">
        <v>2674</v>
      </c>
      <c r="G64" s="0" t="s">
        <v>13</v>
      </c>
      <c r="H64" s="0" t="str">
        <f aca="false">"218-229"</f>
        <v>218-229</v>
      </c>
      <c r="I64" s="0" t="s">
        <v>13</v>
      </c>
      <c r="J64" s="0" t="str">
        <f aca="false">"233-244"</f>
        <v>233-244</v>
      </c>
      <c r="K64" s="0" t="str">
        <f aca="false">"0.99"</f>
        <v>0.99</v>
      </c>
      <c r="L64" s="0" t="str">
        <f aca="false">"11.79"</f>
        <v>11.79</v>
      </c>
      <c r="M64" s="0" t="str">
        <f aca="false">"-123.9"</f>
        <v>-123.9</v>
      </c>
    </row>
    <row r="65" customFormat="false" ht="12.8" hidden="false" customHeight="false" outlineLevel="0" collapsed="false">
      <c r="A65" s="0" t="s">
        <v>2623</v>
      </c>
      <c r="B65" s="0" t="s">
        <v>13</v>
      </c>
      <c r="C65" s="0" t="str">
        <f aca="false">"941-952"</f>
        <v>941-952</v>
      </c>
      <c r="D65" s="0" t="s">
        <v>13</v>
      </c>
      <c r="E65" s="0" t="str">
        <f aca="false">"997-1008"</f>
        <v>997-1008</v>
      </c>
      <c r="F65" s="0" t="s">
        <v>2675</v>
      </c>
      <c r="G65" s="0" t="s">
        <v>9</v>
      </c>
      <c r="H65" s="0" t="str">
        <f aca="false">"173-184"</f>
        <v>173-184</v>
      </c>
      <c r="I65" s="0" t="s">
        <v>9</v>
      </c>
      <c r="J65" s="0" t="str">
        <f aca="false">"189-200"</f>
        <v>189-200</v>
      </c>
      <c r="K65" s="0" t="str">
        <f aca="false">"1.24"</f>
        <v>1.24</v>
      </c>
      <c r="L65" s="0" t="str">
        <f aca="false">"9.92"</f>
        <v>9.92</v>
      </c>
      <c r="M65" s="0" t="str">
        <f aca="false">"-139.2"</f>
        <v>-139.2</v>
      </c>
    </row>
    <row r="66" customFormat="false" ht="12.8" hidden="false" customHeight="false" outlineLevel="0" collapsed="false">
      <c r="A66" s="0" t="s">
        <v>2623</v>
      </c>
      <c r="B66" s="0" t="s">
        <v>13</v>
      </c>
      <c r="C66" s="0" t="str">
        <f aca="false">"942-953"</f>
        <v>942-953</v>
      </c>
      <c r="D66" s="0" t="s">
        <v>13</v>
      </c>
      <c r="E66" s="0" t="str">
        <f aca="false">"993-1004"</f>
        <v>993-1004</v>
      </c>
      <c r="F66" s="0" t="s">
        <v>2676</v>
      </c>
      <c r="G66" s="0" t="s">
        <v>9</v>
      </c>
      <c r="H66" s="0" t="str">
        <f aca="false">"358-369"</f>
        <v>358-369</v>
      </c>
      <c r="I66" s="0" t="s">
        <v>9</v>
      </c>
      <c r="J66" s="0" t="str">
        <f aca="false">"343-354"</f>
        <v>343-354</v>
      </c>
      <c r="K66" s="0" t="str">
        <f aca="false">"1.09"</f>
        <v>1.09</v>
      </c>
      <c r="L66" s="0" t="str">
        <f aca="false">"9.37"</f>
        <v>9.37</v>
      </c>
      <c r="M66" s="0" t="str">
        <f aca="false">"-143.0"</f>
        <v>-143.0</v>
      </c>
    </row>
    <row r="67" customFormat="false" ht="12.8" hidden="false" customHeight="false" outlineLevel="0" collapsed="false">
      <c r="A67" s="0" t="s">
        <v>2623</v>
      </c>
      <c r="B67" s="0" t="s">
        <v>13</v>
      </c>
      <c r="C67" s="0" t="str">
        <f aca="false">"941-952"</f>
        <v>941-952</v>
      </c>
      <c r="D67" s="0" t="s">
        <v>13</v>
      </c>
      <c r="E67" s="0" t="str">
        <f aca="false">"997-1008"</f>
        <v>997-1008</v>
      </c>
      <c r="F67" s="0" t="s">
        <v>2677</v>
      </c>
      <c r="G67" s="0" t="s">
        <v>13</v>
      </c>
      <c r="H67" s="0" t="str">
        <f aca="false">"869-880"</f>
        <v>869-880</v>
      </c>
      <c r="I67" s="0" t="s">
        <v>13</v>
      </c>
      <c r="J67" s="0" t="str">
        <f aca="false">"886-897"</f>
        <v>886-897</v>
      </c>
      <c r="K67" s="0" t="str">
        <f aca="false">"1.25"</f>
        <v>1.25</v>
      </c>
      <c r="L67" s="0" t="str">
        <f aca="false">"11.89"</f>
        <v>11.89</v>
      </c>
      <c r="M67" s="0" t="str">
        <f aca="false">"-156.5"</f>
        <v>-156.5</v>
      </c>
    </row>
    <row r="68" customFormat="false" ht="12.8" hidden="false" customHeight="false" outlineLevel="0" collapsed="false">
      <c r="A68" s="0" t="s">
        <v>2623</v>
      </c>
      <c r="B68" s="0" t="s">
        <v>13</v>
      </c>
      <c r="C68" s="0" t="str">
        <f aca="false">"938-949"</f>
        <v>938-949</v>
      </c>
      <c r="D68" s="0" t="s">
        <v>13</v>
      </c>
      <c r="E68" s="0" t="str">
        <f aca="false">"997-1008"</f>
        <v>997-1008</v>
      </c>
      <c r="F68" s="0" t="s">
        <v>2678</v>
      </c>
      <c r="G68" s="0" t="s">
        <v>9</v>
      </c>
      <c r="H68" s="0" t="str">
        <f aca="false">"270-281"</f>
        <v>270-281</v>
      </c>
      <c r="I68" s="0" t="s">
        <v>9</v>
      </c>
      <c r="J68" s="0" t="str">
        <f aca="false">"285-296"</f>
        <v>285-296</v>
      </c>
      <c r="K68" s="0" t="str">
        <f aca="false">"1.02"</f>
        <v>1.02</v>
      </c>
      <c r="L68" s="0" t="str">
        <f aca="false">"12.64"</f>
        <v>12.64</v>
      </c>
      <c r="M68" s="0" t="str">
        <f aca="false">"-137.8"</f>
        <v>-137.8</v>
      </c>
    </row>
    <row r="69" customFormat="false" ht="12.8" hidden="false" customHeight="false" outlineLevel="0" collapsed="false">
      <c r="A69" s="0" t="s">
        <v>2623</v>
      </c>
      <c r="B69" s="0" t="s">
        <v>13</v>
      </c>
      <c r="C69" s="0" t="str">
        <f aca="false">"940-951"</f>
        <v>940-951</v>
      </c>
      <c r="D69" s="0" t="s">
        <v>13</v>
      </c>
      <c r="E69" s="0" t="str">
        <f aca="false">"1000-1011"</f>
        <v>1000-1011</v>
      </c>
      <c r="F69" s="0" t="s">
        <v>2679</v>
      </c>
      <c r="G69" s="0" t="s">
        <v>9</v>
      </c>
      <c r="H69" s="0" t="str">
        <f aca="false">"228-239"</f>
        <v>228-239</v>
      </c>
      <c r="I69" s="0" t="s">
        <v>9</v>
      </c>
      <c r="J69" s="0" t="str">
        <f aca="false">"309-320"</f>
        <v>309-320</v>
      </c>
      <c r="K69" s="0" t="str">
        <f aca="false">"1.21"</f>
        <v>1.21</v>
      </c>
      <c r="L69" s="0" t="str">
        <f aca="false">"13.28"</f>
        <v>13.28</v>
      </c>
      <c r="M69" s="0" t="str">
        <f aca="false">"-129.9"</f>
        <v>-129.9</v>
      </c>
    </row>
    <row r="70" customFormat="false" ht="12.8" hidden="false" customHeight="false" outlineLevel="0" collapsed="false">
      <c r="A70" s="0" t="s">
        <v>2623</v>
      </c>
      <c r="B70" s="0" t="s">
        <v>13</v>
      </c>
      <c r="C70" s="0" t="str">
        <f aca="false">"938-949"</f>
        <v>938-949</v>
      </c>
      <c r="D70" s="0" t="s">
        <v>13</v>
      </c>
      <c r="E70" s="0" t="str">
        <f aca="false">"996-1007"</f>
        <v>996-1007</v>
      </c>
      <c r="F70" s="0" t="s">
        <v>2680</v>
      </c>
      <c r="G70" s="0" t="s">
        <v>9</v>
      </c>
      <c r="H70" s="0" t="str">
        <f aca="false">"71-82"</f>
        <v>71-82</v>
      </c>
      <c r="I70" s="0" t="s">
        <v>9</v>
      </c>
      <c r="J70" s="0" t="str">
        <f aca="false">"27-38"</f>
        <v>27-38</v>
      </c>
      <c r="K70" s="0" t="str">
        <f aca="false">"1.07"</f>
        <v>1.07</v>
      </c>
      <c r="L70" s="0" t="str">
        <f aca="false">"11.78"</f>
        <v>11.78</v>
      </c>
      <c r="M70" s="0" t="str">
        <f aca="false">"-130.6"</f>
        <v>-130.6</v>
      </c>
    </row>
    <row r="71" customFormat="false" ht="12.8" hidden="false" customHeight="false" outlineLevel="0" collapsed="false">
      <c r="A71" s="0" t="s">
        <v>2623</v>
      </c>
      <c r="B71" s="0" t="s">
        <v>13</v>
      </c>
      <c r="C71" s="0" t="str">
        <f aca="false">"937-948"</f>
        <v>937-948</v>
      </c>
      <c r="D71" s="0" t="s">
        <v>13</v>
      </c>
      <c r="E71" s="0" t="str">
        <f aca="false">"995-1006"</f>
        <v>995-1006</v>
      </c>
      <c r="F71" s="0" t="s">
        <v>2681</v>
      </c>
      <c r="G71" s="0" t="s">
        <v>120</v>
      </c>
      <c r="H71" s="0" t="str">
        <f aca="false">"55-66"</f>
        <v>55-66</v>
      </c>
      <c r="I71" s="0" t="s">
        <v>120</v>
      </c>
      <c r="J71" s="0" t="str">
        <f aca="false">"11-22"</f>
        <v>11-22</v>
      </c>
      <c r="K71" s="0" t="str">
        <f aca="false">"1.01"</f>
        <v>1.01</v>
      </c>
      <c r="L71" s="0" t="str">
        <f aca="false">"13.24"</f>
        <v>13.24</v>
      </c>
      <c r="M71" s="0" t="str">
        <f aca="false">"-137.9"</f>
        <v>-137.9</v>
      </c>
    </row>
    <row r="72" customFormat="false" ht="12.8" hidden="false" customHeight="false" outlineLevel="0" collapsed="false">
      <c r="A72" s="0" t="s">
        <v>2623</v>
      </c>
      <c r="B72" s="0" t="s">
        <v>13</v>
      </c>
      <c r="C72" s="0" t="str">
        <f aca="false">"937-948"</f>
        <v>937-948</v>
      </c>
      <c r="D72" s="0" t="s">
        <v>13</v>
      </c>
      <c r="E72" s="0" t="str">
        <f aca="false">"996-1007"</f>
        <v>996-1007</v>
      </c>
      <c r="F72" s="0" t="s">
        <v>2682</v>
      </c>
      <c r="G72" s="0" t="s">
        <v>13</v>
      </c>
      <c r="H72" s="0" t="str">
        <f aca="false">"154-165"</f>
        <v>154-165</v>
      </c>
      <c r="I72" s="0" t="s">
        <v>9</v>
      </c>
      <c r="J72" s="0" t="str">
        <f aca="false">"119-130"</f>
        <v>119-130</v>
      </c>
      <c r="K72" s="0" t="str">
        <f aca="false">"1.06"</f>
        <v>1.06</v>
      </c>
      <c r="L72" s="0" t="str">
        <f aca="false">"14.48"</f>
        <v>14.48</v>
      </c>
      <c r="M72" s="0" t="str">
        <f aca="false">"-124.7"</f>
        <v>-124.7</v>
      </c>
    </row>
    <row r="73" customFormat="false" ht="12.8" hidden="false" customHeight="false" outlineLevel="0" collapsed="false">
      <c r="A73" s="0" t="s">
        <v>2623</v>
      </c>
      <c r="B73" s="0" t="s">
        <v>13</v>
      </c>
      <c r="C73" s="0" t="str">
        <f aca="false">"938-949"</f>
        <v>938-949</v>
      </c>
      <c r="D73" s="0" t="s">
        <v>13</v>
      </c>
      <c r="E73" s="0" t="str">
        <f aca="false">"1000-1011"</f>
        <v>1000-1011</v>
      </c>
      <c r="F73" s="0" t="s">
        <v>2683</v>
      </c>
      <c r="G73" s="0" t="s">
        <v>9</v>
      </c>
      <c r="H73" s="0" t="str">
        <f aca="false">"39-50"</f>
        <v>39-50</v>
      </c>
      <c r="I73" s="0" t="s">
        <v>9</v>
      </c>
      <c r="J73" s="0" t="str">
        <f aca="false">"56-67"</f>
        <v>56-67</v>
      </c>
      <c r="K73" s="0" t="str">
        <f aca="false">"1.14"</f>
        <v>1.14</v>
      </c>
      <c r="L73" s="0" t="str">
        <f aca="false">"14.19"</f>
        <v>14.19</v>
      </c>
      <c r="M73" s="0" t="str">
        <f aca="false">"-147.3"</f>
        <v>-147.3</v>
      </c>
    </row>
    <row r="74" customFormat="false" ht="12.8" hidden="false" customHeight="false" outlineLevel="0" collapsed="false">
      <c r="A74" s="0" t="s">
        <v>2623</v>
      </c>
      <c r="B74" s="0" t="s">
        <v>13</v>
      </c>
      <c r="C74" s="0" t="str">
        <f aca="false">"946-957"</f>
        <v>946-957</v>
      </c>
      <c r="D74" s="0" t="s">
        <v>13</v>
      </c>
      <c r="E74" s="0" t="str">
        <f aca="false">"996-1007"</f>
        <v>996-1007</v>
      </c>
      <c r="F74" s="0" t="s">
        <v>2684</v>
      </c>
      <c r="G74" s="0" t="s">
        <v>9</v>
      </c>
      <c r="H74" s="0" t="str">
        <f aca="false">"459-470"</f>
        <v>459-470</v>
      </c>
      <c r="I74" s="0" t="s">
        <v>9</v>
      </c>
      <c r="J74" s="0" t="str">
        <f aca="false">"584-595"</f>
        <v>584-595</v>
      </c>
      <c r="K74" s="0" t="str">
        <f aca="false">"0.85"</f>
        <v>0.85</v>
      </c>
      <c r="L74" s="0" t="str">
        <f aca="false">"12.64"</f>
        <v>12.64</v>
      </c>
      <c r="M74" s="0" t="str">
        <f aca="false">"-134.4"</f>
        <v>-134.4</v>
      </c>
    </row>
    <row r="75" customFormat="false" ht="12.8" hidden="false" customHeight="false" outlineLevel="0" collapsed="false">
      <c r="A75" s="0" t="s">
        <v>2623</v>
      </c>
      <c r="B75" s="0" t="s">
        <v>13</v>
      </c>
      <c r="C75" s="0" t="str">
        <f aca="false">"946-957"</f>
        <v>946-957</v>
      </c>
      <c r="D75" s="0" t="s">
        <v>13</v>
      </c>
      <c r="E75" s="0" t="str">
        <f aca="false">"994-1005"</f>
        <v>994-1005</v>
      </c>
      <c r="F75" s="0" t="s">
        <v>2685</v>
      </c>
      <c r="G75" s="0" t="s">
        <v>9</v>
      </c>
      <c r="H75" s="0" t="str">
        <f aca="false">"262-273"</f>
        <v>262-273</v>
      </c>
      <c r="I75" s="0" t="s">
        <v>9</v>
      </c>
      <c r="J75" s="0" t="str">
        <f aca="false">"278-289"</f>
        <v>278-289</v>
      </c>
      <c r="K75" s="0" t="str">
        <f aca="false">"1.20"</f>
        <v>1.20</v>
      </c>
      <c r="L75" s="0" t="str">
        <f aca="false">"10.49"</f>
        <v>10.49</v>
      </c>
      <c r="M75" s="0" t="str">
        <f aca="false">"-138.9"</f>
        <v>-138.9</v>
      </c>
    </row>
    <row r="76" customFormat="false" ht="12.8" hidden="false" customHeight="false" outlineLevel="0" collapsed="false">
      <c r="A76" s="0" t="s">
        <v>2623</v>
      </c>
      <c r="B76" s="0" t="s">
        <v>13</v>
      </c>
      <c r="C76" s="0" t="str">
        <f aca="false">"943-954"</f>
        <v>943-954</v>
      </c>
      <c r="D76" s="0" t="s">
        <v>13</v>
      </c>
      <c r="E76" s="0" t="str">
        <f aca="false">"999-1010"</f>
        <v>999-1010</v>
      </c>
      <c r="F76" s="0" t="s">
        <v>2686</v>
      </c>
      <c r="G76" s="0" t="s">
        <v>24</v>
      </c>
      <c r="H76" s="0" t="str">
        <f aca="false">"172-183"</f>
        <v>172-183</v>
      </c>
      <c r="I76" s="0" t="s">
        <v>70</v>
      </c>
      <c r="J76" s="0" t="str">
        <f aca="false">"81-92"</f>
        <v>81-92</v>
      </c>
      <c r="K76" s="0" t="str">
        <f aca="false">"0.91"</f>
        <v>0.91</v>
      </c>
      <c r="L76" s="0" t="str">
        <f aca="false">"12.18"</f>
        <v>12.18</v>
      </c>
      <c r="M76" s="0" t="str">
        <f aca="false">"-137.7"</f>
        <v>-137.7</v>
      </c>
    </row>
    <row r="77" customFormat="false" ht="12.8" hidden="false" customHeight="false" outlineLevel="0" collapsed="false">
      <c r="A77" s="0" t="s">
        <v>2623</v>
      </c>
      <c r="B77" s="0" t="s">
        <v>13</v>
      </c>
      <c r="C77" s="0" t="str">
        <f aca="false">"938-949"</f>
        <v>938-949</v>
      </c>
      <c r="D77" s="0" t="s">
        <v>13</v>
      </c>
      <c r="E77" s="0" t="str">
        <f aca="false">"997-1008"</f>
        <v>997-1008</v>
      </c>
      <c r="F77" s="0" t="s">
        <v>2687</v>
      </c>
      <c r="G77" s="0" t="s">
        <v>9</v>
      </c>
      <c r="H77" s="0" t="str">
        <f aca="false">"738-749"</f>
        <v>738-749</v>
      </c>
      <c r="I77" s="0" t="s">
        <v>9</v>
      </c>
      <c r="J77" s="0" t="str">
        <f aca="false">"753-764"</f>
        <v>753-764</v>
      </c>
      <c r="K77" s="0" t="str">
        <f aca="false">"1.25"</f>
        <v>1.25</v>
      </c>
      <c r="L77" s="0" t="str">
        <f aca="false">"13.82"</f>
        <v>13.82</v>
      </c>
      <c r="M77" s="0" t="str">
        <f aca="false">"-142.1"</f>
        <v>-142.1</v>
      </c>
    </row>
    <row r="78" customFormat="false" ht="12.8" hidden="false" customHeight="false" outlineLevel="0" collapsed="false">
      <c r="A78" s="0" t="s">
        <v>2623</v>
      </c>
      <c r="B78" s="0" t="s">
        <v>13</v>
      </c>
      <c r="C78" s="0" t="str">
        <f aca="false">"942-953"</f>
        <v>942-953</v>
      </c>
      <c r="D78" s="0" t="s">
        <v>13</v>
      </c>
      <c r="E78" s="0" t="str">
        <f aca="false">"997-1008"</f>
        <v>997-1008</v>
      </c>
      <c r="F78" s="0" t="s">
        <v>2688</v>
      </c>
      <c r="G78" s="0" t="s">
        <v>9</v>
      </c>
      <c r="H78" s="0" t="str">
        <f aca="false">"19-30"</f>
        <v>19-30</v>
      </c>
      <c r="I78" s="0" t="s">
        <v>9</v>
      </c>
      <c r="J78" s="0" t="str">
        <f aca="false">"35-46"</f>
        <v>35-46</v>
      </c>
      <c r="K78" s="0" t="str">
        <f aca="false">"1.25"</f>
        <v>1.25</v>
      </c>
      <c r="L78" s="0" t="str">
        <f aca="false">"12.50"</f>
        <v>12.50</v>
      </c>
      <c r="M78" s="0" t="str">
        <f aca="false">"-140.5"</f>
        <v>-140.5</v>
      </c>
    </row>
    <row r="79" customFormat="false" ht="12.8" hidden="false" customHeight="false" outlineLevel="0" collapsed="false">
      <c r="A79" s="0" t="s">
        <v>2623</v>
      </c>
      <c r="B79" s="0" t="s">
        <v>13</v>
      </c>
      <c r="C79" s="0" t="str">
        <f aca="false">"938-949"</f>
        <v>938-949</v>
      </c>
      <c r="D79" s="0" t="s">
        <v>13</v>
      </c>
      <c r="E79" s="0" t="str">
        <f aca="false">"999-1010"</f>
        <v>999-1010</v>
      </c>
      <c r="F79" s="0" t="s">
        <v>2689</v>
      </c>
      <c r="G79" s="0" t="s">
        <v>9</v>
      </c>
      <c r="H79" s="0" t="str">
        <f aca="false">"85-96"</f>
        <v>85-96</v>
      </c>
      <c r="I79" s="0" t="s">
        <v>9</v>
      </c>
      <c r="J79" s="0" t="str">
        <f aca="false">"101-112"</f>
        <v>101-112</v>
      </c>
      <c r="K79" s="0" t="str">
        <f aca="false">"1.12"</f>
        <v>1.12</v>
      </c>
      <c r="L79" s="0" t="str">
        <f aca="false">"11.32"</f>
        <v>11.32</v>
      </c>
      <c r="M79" s="0" t="str">
        <f aca="false">"-133.6"</f>
        <v>-133.6</v>
      </c>
    </row>
    <row r="80" customFormat="false" ht="12.8" hidden="false" customHeight="false" outlineLevel="0" collapsed="false">
      <c r="A80" s="0" t="s">
        <v>2623</v>
      </c>
      <c r="B80" s="0" t="s">
        <v>13</v>
      </c>
      <c r="C80" s="0" t="str">
        <f aca="false">"938-949"</f>
        <v>938-949</v>
      </c>
      <c r="D80" s="0" t="s">
        <v>13</v>
      </c>
      <c r="E80" s="0" t="str">
        <f aca="false">"1000-1011"</f>
        <v>1000-1011</v>
      </c>
      <c r="F80" s="0" t="s">
        <v>2690</v>
      </c>
      <c r="G80" s="0" t="s">
        <v>9</v>
      </c>
      <c r="H80" s="0" t="str">
        <f aca="false">"132-143"</f>
        <v>132-143</v>
      </c>
      <c r="I80" s="0" t="s">
        <v>9</v>
      </c>
      <c r="J80" s="0" t="str">
        <f aca="false">"506-517"</f>
        <v>506-517</v>
      </c>
      <c r="K80" s="0" t="str">
        <f aca="false">"0.77"</f>
        <v>0.77</v>
      </c>
      <c r="L80" s="0" t="str">
        <f aca="false">"12.86"</f>
        <v>12.86</v>
      </c>
      <c r="M80" s="0" t="str">
        <f aca="false">"-130.2"</f>
        <v>-130.2</v>
      </c>
    </row>
    <row r="81" customFormat="false" ht="12.8" hidden="false" customHeight="false" outlineLevel="0" collapsed="false">
      <c r="A81" s="0" t="s">
        <v>2623</v>
      </c>
      <c r="B81" s="0" t="s">
        <v>13</v>
      </c>
      <c r="C81" s="0" t="str">
        <f aca="false">"939-950"</f>
        <v>939-950</v>
      </c>
      <c r="D81" s="0" t="s">
        <v>13</v>
      </c>
      <c r="E81" s="0" t="str">
        <f aca="false">"999-1010"</f>
        <v>999-1010</v>
      </c>
      <c r="F81" s="0" t="s">
        <v>2691</v>
      </c>
      <c r="G81" s="0" t="s">
        <v>9</v>
      </c>
      <c r="H81" s="0" t="str">
        <f aca="false">"119-130"</f>
        <v>119-130</v>
      </c>
      <c r="I81" s="0" t="s">
        <v>9</v>
      </c>
      <c r="J81" s="0" t="str">
        <f aca="false">"177-188"</f>
        <v>177-188</v>
      </c>
      <c r="K81" s="0" t="str">
        <f aca="false">"1.08"</f>
        <v>1.08</v>
      </c>
      <c r="L81" s="0" t="str">
        <f aca="false">"11.40"</f>
        <v>11.40</v>
      </c>
      <c r="M81" s="0" t="str">
        <f aca="false">"-125.8"</f>
        <v>-125.8</v>
      </c>
    </row>
    <row r="82" customFormat="false" ht="12.8" hidden="false" customHeight="false" outlineLevel="0" collapsed="false">
      <c r="A82" s="0" t="s">
        <v>2623</v>
      </c>
      <c r="B82" s="0" t="s">
        <v>13</v>
      </c>
      <c r="C82" s="0" t="str">
        <f aca="false">"943-954"</f>
        <v>943-954</v>
      </c>
      <c r="D82" s="0" t="s">
        <v>13</v>
      </c>
      <c r="E82" s="0" t="str">
        <f aca="false">"999-1010"</f>
        <v>999-1010</v>
      </c>
      <c r="F82" s="0" t="s">
        <v>2692</v>
      </c>
      <c r="G82" s="0" t="s">
        <v>9</v>
      </c>
      <c r="H82" s="0" t="str">
        <f aca="false">"494-505"</f>
        <v>494-505</v>
      </c>
      <c r="I82" s="0" t="s">
        <v>9</v>
      </c>
      <c r="J82" s="0" t="str">
        <f aca="false">"301-312"</f>
        <v>301-312</v>
      </c>
      <c r="K82" s="0" t="str">
        <f aca="false">"1.10"</f>
        <v>1.10</v>
      </c>
      <c r="L82" s="0" t="str">
        <f aca="false">"12.44"</f>
        <v>12.44</v>
      </c>
      <c r="M82" s="0" t="str">
        <f aca="false">"-141.9"</f>
        <v>-141.9</v>
      </c>
    </row>
    <row r="83" customFormat="false" ht="12.8" hidden="false" customHeight="false" outlineLevel="0" collapsed="false">
      <c r="A83" s="0" t="s">
        <v>2623</v>
      </c>
      <c r="B83" s="0" t="s">
        <v>13</v>
      </c>
      <c r="C83" s="0" t="str">
        <f aca="false">"937-948"</f>
        <v>937-948</v>
      </c>
      <c r="D83" s="0" t="s">
        <v>13</v>
      </c>
      <c r="E83" s="0" t="str">
        <f aca="false">"996-1007"</f>
        <v>996-1007</v>
      </c>
      <c r="F83" s="0" t="s">
        <v>2693</v>
      </c>
      <c r="G83" s="0" t="s">
        <v>13</v>
      </c>
      <c r="H83" s="0" t="str">
        <f aca="false">"159-170"</f>
        <v>159-170</v>
      </c>
      <c r="I83" s="0" t="s">
        <v>9</v>
      </c>
      <c r="J83" s="0" t="str">
        <f aca="false">"130-141"</f>
        <v>130-141</v>
      </c>
      <c r="K83" s="0" t="str">
        <f aca="false">"0.96"</f>
        <v>0.96</v>
      </c>
      <c r="L83" s="0" t="str">
        <f aca="false">"12.79"</f>
        <v>12.79</v>
      </c>
      <c r="M83" s="0" t="str">
        <f aca="false">"-120.4"</f>
        <v>-120.4</v>
      </c>
    </row>
    <row r="84" customFormat="false" ht="12.8" hidden="false" customHeight="false" outlineLevel="0" collapsed="false">
      <c r="A84" s="0" t="s">
        <v>2623</v>
      </c>
      <c r="B84" s="0" t="s">
        <v>13</v>
      </c>
      <c r="C84" s="0" t="str">
        <f aca="false">"937-948"</f>
        <v>937-948</v>
      </c>
      <c r="D84" s="0" t="s">
        <v>13</v>
      </c>
      <c r="E84" s="0" t="str">
        <f aca="false">"999-1010"</f>
        <v>999-1010</v>
      </c>
      <c r="F84" s="0" t="s">
        <v>2694</v>
      </c>
      <c r="G84" s="0" t="s">
        <v>9</v>
      </c>
      <c r="H84" s="0" t="str">
        <f aca="false">"156-167"</f>
        <v>156-167</v>
      </c>
      <c r="I84" s="0" t="s">
        <v>13</v>
      </c>
      <c r="J84" s="0" t="str">
        <f aca="false">"183-194"</f>
        <v>183-194</v>
      </c>
      <c r="K84" s="0" t="str">
        <f aca="false">"1.02"</f>
        <v>1.02</v>
      </c>
      <c r="L84" s="0" t="str">
        <f aca="false">"12.71"</f>
        <v>12.71</v>
      </c>
      <c r="M84" s="0" t="str">
        <f aca="false">"-134.9"</f>
        <v>-134.9</v>
      </c>
    </row>
    <row r="85" customFormat="false" ht="12.8" hidden="false" customHeight="false" outlineLevel="0" collapsed="false">
      <c r="A85" s="0" t="s">
        <v>2623</v>
      </c>
      <c r="B85" s="0" t="s">
        <v>13</v>
      </c>
      <c r="C85" s="0" t="str">
        <f aca="false">"943-954"</f>
        <v>943-954</v>
      </c>
      <c r="D85" s="0" t="s">
        <v>13</v>
      </c>
      <c r="E85" s="0" t="str">
        <f aca="false">"998-1009"</f>
        <v>998-1009</v>
      </c>
      <c r="F85" s="0" t="s">
        <v>2695</v>
      </c>
      <c r="G85" s="0" t="s">
        <v>9</v>
      </c>
      <c r="H85" s="0" t="str">
        <f aca="false">"38-49"</f>
        <v>38-49</v>
      </c>
      <c r="I85" s="0" t="s">
        <v>13</v>
      </c>
      <c r="J85" s="0" t="str">
        <f aca="false">"316-327"</f>
        <v>316-327</v>
      </c>
      <c r="K85" s="0" t="str">
        <f aca="false">"1.12"</f>
        <v>1.12</v>
      </c>
      <c r="L85" s="0" t="str">
        <f aca="false">"12.37"</f>
        <v>12.37</v>
      </c>
      <c r="M85" s="0" t="str">
        <f aca="false">"-125.3"</f>
        <v>-125.3</v>
      </c>
    </row>
    <row r="86" customFormat="false" ht="12.8" hidden="false" customHeight="false" outlineLevel="0" collapsed="false">
      <c r="A86" s="0" t="s">
        <v>2623</v>
      </c>
      <c r="B86" s="0" t="s">
        <v>13</v>
      </c>
      <c r="C86" s="0" t="str">
        <f aca="false">"940-951"</f>
        <v>940-951</v>
      </c>
      <c r="D86" s="0" t="s">
        <v>13</v>
      </c>
      <c r="E86" s="0" t="str">
        <f aca="false">"998-1009"</f>
        <v>998-1009</v>
      </c>
      <c r="F86" s="0" t="s">
        <v>2696</v>
      </c>
      <c r="G86" s="0" t="s">
        <v>9</v>
      </c>
      <c r="H86" s="0" t="str">
        <f aca="false">"146-157"</f>
        <v>146-157</v>
      </c>
      <c r="I86" s="0" t="s">
        <v>71</v>
      </c>
      <c r="J86" s="0" t="str">
        <f aca="false">"159-170"</f>
        <v>159-170</v>
      </c>
      <c r="K86" s="0" t="str">
        <f aca="false">"1.10"</f>
        <v>1.10</v>
      </c>
      <c r="L86" s="0" t="str">
        <f aca="false">"10.98"</f>
        <v>10.98</v>
      </c>
      <c r="M86" s="0" t="str">
        <f aca="false">"-128.1"</f>
        <v>-128.1</v>
      </c>
    </row>
    <row r="87" customFormat="false" ht="12.8" hidden="false" customHeight="false" outlineLevel="0" collapsed="false">
      <c r="A87" s="0" t="s">
        <v>2623</v>
      </c>
      <c r="B87" s="0" t="s">
        <v>13</v>
      </c>
      <c r="C87" s="0" t="str">
        <f aca="false">"946-957"</f>
        <v>946-957</v>
      </c>
      <c r="D87" s="0" t="s">
        <v>13</v>
      </c>
      <c r="E87" s="0" t="str">
        <f aca="false">"993-1004"</f>
        <v>993-1004</v>
      </c>
      <c r="F87" s="0" t="s">
        <v>2697</v>
      </c>
      <c r="G87" s="0" t="s">
        <v>9</v>
      </c>
      <c r="H87" s="0" t="str">
        <f aca="false">"117-128"</f>
        <v>117-128</v>
      </c>
      <c r="I87" s="0" t="s">
        <v>9</v>
      </c>
      <c r="J87" s="0" t="str">
        <f aca="false">"79-90"</f>
        <v>79-90</v>
      </c>
      <c r="K87" s="0" t="str">
        <f aca="false">"1.22"</f>
        <v>1.22</v>
      </c>
      <c r="L87" s="0" t="str">
        <f aca="false">"9.84"</f>
        <v>9.84</v>
      </c>
      <c r="M87" s="0" t="str">
        <f aca="false">"-137.2"</f>
        <v>-137.2</v>
      </c>
    </row>
    <row r="88" customFormat="false" ht="12.8" hidden="false" customHeight="false" outlineLevel="0" collapsed="false">
      <c r="A88" s="0" t="s">
        <v>2623</v>
      </c>
      <c r="B88" s="0" t="s">
        <v>13</v>
      </c>
      <c r="C88" s="0" t="str">
        <f aca="false">"939-950"</f>
        <v>939-950</v>
      </c>
      <c r="D88" s="0" t="s">
        <v>13</v>
      </c>
      <c r="E88" s="0" t="str">
        <f aca="false">"997-1008"</f>
        <v>997-1008</v>
      </c>
      <c r="F88" s="0" t="s">
        <v>2698</v>
      </c>
      <c r="G88" s="0" t="s">
        <v>9</v>
      </c>
      <c r="H88" s="0" t="str">
        <f aca="false">"885-896"</f>
        <v>885-896</v>
      </c>
      <c r="I88" s="0" t="s">
        <v>9</v>
      </c>
      <c r="J88" s="0" t="str">
        <f aca="false">"899-910"</f>
        <v>899-910</v>
      </c>
      <c r="K88" s="0" t="str">
        <f aca="false">"1.17"</f>
        <v>1.17</v>
      </c>
      <c r="L88" s="0" t="str">
        <f aca="false">"12.20"</f>
        <v>12.20</v>
      </c>
      <c r="M88" s="0" t="str">
        <f aca="false">"-131.9"</f>
        <v>-131.9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3316326530612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6887755102041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778</v>
      </c>
      <c r="B2" s="0" t="s">
        <v>9</v>
      </c>
      <c r="C2" s="0" t="str">
        <f aca="false">"200-211"</f>
        <v>200-211</v>
      </c>
      <c r="D2" s="0" t="s">
        <v>9</v>
      </c>
      <c r="E2" s="0" t="str">
        <f aca="false">"334-345"</f>
        <v>334-345</v>
      </c>
      <c r="F2" s="0" t="s">
        <v>779</v>
      </c>
      <c r="G2" s="0" t="s">
        <v>9</v>
      </c>
      <c r="H2" s="0" t="str">
        <f aca="false">"22-33"</f>
        <v>22-33</v>
      </c>
      <c r="I2" s="0" t="s">
        <v>9</v>
      </c>
      <c r="J2" s="0" t="str">
        <f aca="false">"181-192"</f>
        <v>181-192</v>
      </c>
      <c r="K2" s="0" t="str">
        <f aca="false">"0.94"</f>
        <v>0.94</v>
      </c>
      <c r="L2" s="0" t="str">
        <f aca="false">"10.81"</f>
        <v>10.81</v>
      </c>
      <c r="M2" s="0" t="str">
        <f aca="false">"13.6"</f>
        <v>13.6</v>
      </c>
    </row>
    <row r="3" customFormat="false" ht="12.8" hidden="false" customHeight="false" outlineLevel="0" collapsed="false">
      <c r="A3" s="0" t="s">
        <v>778</v>
      </c>
      <c r="B3" s="0" t="s">
        <v>9</v>
      </c>
      <c r="C3" s="0" t="str">
        <f aca="false">"205-216"</f>
        <v>205-216</v>
      </c>
      <c r="D3" s="0" t="s">
        <v>9</v>
      </c>
      <c r="E3" s="0" t="str">
        <f aca="false">"338-349"</f>
        <v>338-349</v>
      </c>
      <c r="F3" s="0" t="s">
        <v>780</v>
      </c>
      <c r="G3" s="0" t="s">
        <v>9</v>
      </c>
      <c r="H3" s="0" t="str">
        <f aca="false">"60-71"</f>
        <v>60-71</v>
      </c>
      <c r="I3" s="0" t="s">
        <v>9</v>
      </c>
      <c r="J3" s="0" t="str">
        <f aca="false">"301-312"</f>
        <v>301-312</v>
      </c>
      <c r="K3" s="0" t="str">
        <f aca="false">"1.21"</f>
        <v>1.21</v>
      </c>
      <c r="L3" s="0" t="str">
        <f aca="false">"10.67"</f>
        <v>10.67</v>
      </c>
      <c r="M3" s="0" t="str">
        <f aca="false">"38.7"</f>
        <v>38.7</v>
      </c>
    </row>
    <row r="4" customFormat="false" ht="12.8" hidden="false" customHeight="false" outlineLevel="0" collapsed="false">
      <c r="A4" s="0" t="s">
        <v>778</v>
      </c>
      <c r="B4" s="0" t="s">
        <v>9</v>
      </c>
      <c r="C4" s="0" t="str">
        <f aca="false">"207-218"</f>
        <v>207-218</v>
      </c>
      <c r="D4" s="0" t="s">
        <v>9</v>
      </c>
      <c r="E4" s="0" t="str">
        <f aca="false">"338-349"</f>
        <v>338-349</v>
      </c>
      <c r="F4" s="0" t="s">
        <v>781</v>
      </c>
      <c r="G4" s="0" t="s">
        <v>9</v>
      </c>
      <c r="H4" s="0" t="str">
        <f aca="false">"267-278"</f>
        <v>267-278</v>
      </c>
      <c r="I4" s="0" t="s">
        <v>9</v>
      </c>
      <c r="J4" s="0" t="str">
        <f aca="false">"239-250"</f>
        <v>239-250</v>
      </c>
      <c r="K4" s="0" t="str">
        <f aca="false">"1.02"</f>
        <v>1.02</v>
      </c>
      <c r="L4" s="0" t="str">
        <f aca="false">"10.64"</f>
        <v>10.64</v>
      </c>
      <c r="M4" s="0" t="str">
        <f aca="false">"39.7"</f>
        <v>39.7</v>
      </c>
    </row>
    <row r="5" customFormat="false" ht="12.8" hidden="false" customHeight="false" outlineLevel="0" collapsed="false">
      <c r="A5" s="0" t="s">
        <v>778</v>
      </c>
      <c r="B5" s="0" t="s">
        <v>9</v>
      </c>
      <c r="C5" s="0" t="str">
        <f aca="false">"204-215"</f>
        <v>204-215</v>
      </c>
      <c r="D5" s="0" t="s">
        <v>9</v>
      </c>
      <c r="E5" s="0" t="str">
        <f aca="false">"337-348"</f>
        <v>337-348</v>
      </c>
      <c r="F5" s="0" t="s">
        <v>782</v>
      </c>
      <c r="G5" s="0" t="s">
        <v>13</v>
      </c>
      <c r="H5" s="0" t="str">
        <f aca="false">"121-132"</f>
        <v>121-132</v>
      </c>
      <c r="I5" s="0" t="s">
        <v>13</v>
      </c>
      <c r="J5" s="0" t="str">
        <f aca="false">"11-22"</f>
        <v>11-22</v>
      </c>
      <c r="K5" s="0" t="str">
        <f aca="false">"0.47"</f>
        <v>0.47</v>
      </c>
      <c r="L5" s="0" t="str">
        <f aca="false">"10.19"</f>
        <v>10.19</v>
      </c>
      <c r="M5" s="0" t="str">
        <f aca="false">"28.5"</f>
        <v>28.5</v>
      </c>
    </row>
    <row r="6" customFormat="false" ht="12.8" hidden="false" customHeight="false" outlineLevel="0" collapsed="false">
      <c r="A6" s="0" t="s">
        <v>778</v>
      </c>
      <c r="B6" s="0" t="s">
        <v>9</v>
      </c>
      <c r="C6" s="0" t="str">
        <f aca="false">"207-218"</f>
        <v>207-218</v>
      </c>
      <c r="D6" s="0" t="s">
        <v>9</v>
      </c>
      <c r="E6" s="0" t="str">
        <f aca="false">"338-349"</f>
        <v>338-349</v>
      </c>
      <c r="F6" s="0" t="s">
        <v>783</v>
      </c>
      <c r="G6" s="0" t="s">
        <v>9</v>
      </c>
      <c r="H6" s="0" t="str">
        <f aca="false">"310-321"</f>
        <v>310-321</v>
      </c>
      <c r="I6" s="0" t="s">
        <v>9</v>
      </c>
      <c r="J6" s="0" t="str">
        <f aca="false">"229-240"</f>
        <v>229-240</v>
      </c>
      <c r="K6" s="0" t="str">
        <f aca="false">"0.58"</f>
        <v>0.58</v>
      </c>
      <c r="L6" s="0" t="str">
        <f aca="false">"10.58"</f>
        <v>10.58</v>
      </c>
      <c r="M6" s="0" t="str">
        <f aca="false">"25.6"</f>
        <v>25.6</v>
      </c>
    </row>
    <row r="7" customFormat="false" ht="12.8" hidden="false" customHeight="false" outlineLevel="0" collapsed="false">
      <c r="A7" s="0" t="s">
        <v>778</v>
      </c>
      <c r="B7" s="0" t="s">
        <v>9</v>
      </c>
      <c r="C7" s="0" t="str">
        <f aca="false">"200-211"</f>
        <v>200-211</v>
      </c>
      <c r="D7" s="0" t="s">
        <v>9</v>
      </c>
      <c r="E7" s="0" t="str">
        <f aca="false">"334-345"</f>
        <v>334-345</v>
      </c>
      <c r="F7" s="0" t="s">
        <v>784</v>
      </c>
      <c r="G7" s="0" t="s">
        <v>9</v>
      </c>
      <c r="H7" s="0" t="str">
        <f aca="false">"428-439"</f>
        <v>428-439</v>
      </c>
      <c r="I7" s="0" t="s">
        <v>9</v>
      </c>
      <c r="J7" s="0" t="str">
        <f aca="false">"490-501"</f>
        <v>490-501</v>
      </c>
      <c r="K7" s="0" t="str">
        <f aca="false">"0.80"</f>
        <v>0.80</v>
      </c>
      <c r="L7" s="0" t="str">
        <f aca="false">"9.82"</f>
        <v>9.82</v>
      </c>
      <c r="M7" s="0" t="str">
        <f aca="false">"29.1"</f>
        <v>29.1</v>
      </c>
    </row>
    <row r="8" customFormat="false" ht="12.8" hidden="false" customHeight="false" outlineLevel="0" collapsed="false">
      <c r="A8" s="0" t="s">
        <v>778</v>
      </c>
      <c r="B8" s="0" t="s">
        <v>9</v>
      </c>
      <c r="C8" s="0" t="str">
        <f aca="false">"204-215"</f>
        <v>204-215</v>
      </c>
      <c r="D8" s="0" t="s">
        <v>9</v>
      </c>
      <c r="E8" s="0" t="str">
        <f aca="false">"337-348"</f>
        <v>337-348</v>
      </c>
      <c r="F8" s="0" t="s">
        <v>785</v>
      </c>
      <c r="G8" s="0" t="s">
        <v>9</v>
      </c>
      <c r="H8" s="0" t="str">
        <f aca="false">"33-44"</f>
        <v>33-44</v>
      </c>
      <c r="I8" s="0" t="s">
        <v>9</v>
      </c>
      <c r="J8" s="0" t="str">
        <f aca="false">"123-134"</f>
        <v>123-134</v>
      </c>
      <c r="K8" s="0" t="str">
        <f aca="false">"0.65"</f>
        <v>0.65</v>
      </c>
      <c r="L8" s="0" t="str">
        <f aca="false">"10.63"</f>
        <v>10.63</v>
      </c>
      <c r="M8" s="0" t="str">
        <f aca="false">"24.4"</f>
        <v>24.4</v>
      </c>
    </row>
    <row r="9" customFormat="false" ht="12.8" hidden="false" customHeight="false" outlineLevel="0" collapsed="false">
      <c r="A9" s="0" t="s">
        <v>778</v>
      </c>
      <c r="B9" s="0" t="s">
        <v>9</v>
      </c>
      <c r="C9" s="0" t="str">
        <f aca="false">"207-218"</f>
        <v>207-218</v>
      </c>
      <c r="D9" s="0" t="s">
        <v>9</v>
      </c>
      <c r="E9" s="0" t="str">
        <f aca="false">"338-349"</f>
        <v>338-349</v>
      </c>
      <c r="F9" s="0" t="s">
        <v>786</v>
      </c>
      <c r="G9" s="0" t="s">
        <v>9</v>
      </c>
      <c r="H9" s="0" t="str">
        <f aca="false">"79-90"</f>
        <v>79-90</v>
      </c>
      <c r="I9" s="0" t="s">
        <v>9</v>
      </c>
      <c r="J9" s="0" t="str">
        <f aca="false">"119-130"</f>
        <v>119-130</v>
      </c>
      <c r="K9" s="0" t="str">
        <f aca="false">"0.52"</f>
        <v>0.52</v>
      </c>
      <c r="L9" s="0" t="str">
        <f aca="false">"10.41"</f>
        <v>10.41</v>
      </c>
      <c r="M9" s="0" t="str">
        <f aca="false">"27.3"</f>
        <v>27.3</v>
      </c>
    </row>
    <row r="10" customFormat="false" ht="12.8" hidden="false" customHeight="false" outlineLevel="0" collapsed="false">
      <c r="A10" s="0" t="s">
        <v>778</v>
      </c>
      <c r="B10" s="0" t="s">
        <v>9</v>
      </c>
      <c r="C10" s="0" t="str">
        <f aca="false">"200-211"</f>
        <v>200-211</v>
      </c>
      <c r="D10" s="0" t="s">
        <v>9</v>
      </c>
      <c r="E10" s="0" t="str">
        <f aca="false">"334-345"</f>
        <v>334-345</v>
      </c>
      <c r="F10" s="0" t="s">
        <v>787</v>
      </c>
      <c r="G10" s="0" t="s">
        <v>9</v>
      </c>
      <c r="H10" s="0" t="str">
        <f aca="false">"31-42"</f>
        <v>31-42</v>
      </c>
      <c r="I10" s="0" t="s">
        <v>24</v>
      </c>
      <c r="J10" s="0" t="str">
        <f aca="false">"150-161"</f>
        <v>150-161</v>
      </c>
      <c r="K10" s="0" t="str">
        <f aca="false">"0.57"</f>
        <v>0.57</v>
      </c>
      <c r="L10" s="0" t="str">
        <f aca="false">"9.91"</f>
        <v>9.91</v>
      </c>
      <c r="M10" s="0" t="str">
        <f aca="false">"24.1"</f>
        <v>24.1</v>
      </c>
    </row>
    <row r="11" customFormat="false" ht="12.8" hidden="false" customHeight="false" outlineLevel="0" collapsed="false">
      <c r="A11" s="0" t="s">
        <v>778</v>
      </c>
      <c r="B11" s="0" t="s">
        <v>9</v>
      </c>
      <c r="C11" s="0" t="str">
        <f aca="false">"207-218"</f>
        <v>207-218</v>
      </c>
      <c r="D11" s="0" t="s">
        <v>9</v>
      </c>
      <c r="E11" s="0" t="str">
        <f aca="false">"341-352"</f>
        <v>341-352</v>
      </c>
      <c r="F11" s="0" t="s">
        <v>788</v>
      </c>
      <c r="G11" s="0" t="s">
        <v>9</v>
      </c>
      <c r="H11" s="0" t="str">
        <f aca="false">"138-149"</f>
        <v>138-149</v>
      </c>
      <c r="I11" s="0" t="s">
        <v>9</v>
      </c>
      <c r="J11" s="0" t="str">
        <f aca="false">"52-63"</f>
        <v>52-63</v>
      </c>
      <c r="K11" s="0" t="str">
        <f aca="false">"0.82"</f>
        <v>0.82</v>
      </c>
      <c r="L11" s="0" t="str">
        <f aca="false">"10.92"</f>
        <v>10.92</v>
      </c>
      <c r="M11" s="0" t="str">
        <f aca="false">"22.8"</f>
        <v>22.8</v>
      </c>
    </row>
    <row r="12" customFormat="false" ht="12.8" hidden="false" customHeight="false" outlineLevel="0" collapsed="false">
      <c r="A12" s="0" t="s">
        <v>778</v>
      </c>
      <c r="B12" s="0" t="s">
        <v>9</v>
      </c>
      <c r="C12" s="0" t="str">
        <f aca="false">"207-218"</f>
        <v>207-218</v>
      </c>
      <c r="D12" s="0" t="s">
        <v>9</v>
      </c>
      <c r="E12" s="0" t="str">
        <f aca="false">"341-352"</f>
        <v>341-352</v>
      </c>
      <c r="F12" s="0" t="s">
        <v>789</v>
      </c>
      <c r="G12" s="0" t="s">
        <v>9</v>
      </c>
      <c r="H12" s="0" t="str">
        <f aca="false">"37-48"</f>
        <v>37-48</v>
      </c>
      <c r="I12" s="0" t="s">
        <v>13</v>
      </c>
      <c r="J12" s="0" t="str">
        <f aca="false">"37-48"</f>
        <v>37-48</v>
      </c>
      <c r="K12" s="0" t="str">
        <f aca="false">"1.21"</f>
        <v>1.21</v>
      </c>
      <c r="L12" s="0" t="str">
        <f aca="false">"10.19"</f>
        <v>10.19</v>
      </c>
      <c r="M12" s="0" t="str">
        <f aca="false">"41.7"</f>
        <v>41.7</v>
      </c>
    </row>
    <row r="13" customFormat="false" ht="12.8" hidden="false" customHeight="false" outlineLevel="0" collapsed="false">
      <c r="A13" s="0" t="s">
        <v>778</v>
      </c>
      <c r="B13" s="0" t="s">
        <v>9</v>
      </c>
      <c r="C13" s="0" t="str">
        <f aca="false">"206-217"</f>
        <v>206-217</v>
      </c>
      <c r="D13" s="0" t="s">
        <v>9</v>
      </c>
      <c r="E13" s="0" t="str">
        <f aca="false">"338-349"</f>
        <v>338-349</v>
      </c>
      <c r="F13" s="0" t="s">
        <v>790</v>
      </c>
      <c r="G13" s="0" t="s">
        <v>9</v>
      </c>
      <c r="H13" s="0" t="str">
        <f aca="false">"960-971"</f>
        <v>960-971</v>
      </c>
      <c r="I13" s="0" t="s">
        <v>9</v>
      </c>
      <c r="J13" s="0" t="str">
        <f aca="false">"1034-1045"</f>
        <v>1034-1045</v>
      </c>
      <c r="K13" s="0" t="str">
        <f aca="false">"1.00"</f>
        <v>1.00</v>
      </c>
      <c r="L13" s="0" t="str">
        <f aca="false">"10.26"</f>
        <v>10.26</v>
      </c>
      <c r="M13" s="0" t="str">
        <f aca="false">"32.8"</f>
        <v>32.8</v>
      </c>
    </row>
    <row r="14" customFormat="false" ht="12.8" hidden="false" customHeight="false" outlineLevel="0" collapsed="false">
      <c r="A14" s="0" t="s">
        <v>778</v>
      </c>
      <c r="B14" s="0" t="s">
        <v>9</v>
      </c>
      <c r="C14" s="0" t="str">
        <f aca="false">"200-211"</f>
        <v>200-211</v>
      </c>
      <c r="D14" s="0" t="s">
        <v>9</v>
      </c>
      <c r="E14" s="0" t="str">
        <f aca="false">"334-345"</f>
        <v>334-345</v>
      </c>
      <c r="F14" s="0" t="s">
        <v>791</v>
      </c>
      <c r="G14" s="0" t="s">
        <v>9</v>
      </c>
      <c r="H14" s="0" t="str">
        <f aca="false">"60-71"</f>
        <v>60-71</v>
      </c>
      <c r="I14" s="0" t="s">
        <v>120</v>
      </c>
      <c r="J14" s="0" t="str">
        <f aca="false">"61-72"</f>
        <v>61-72</v>
      </c>
      <c r="K14" s="0" t="str">
        <f aca="false">"0.86"</f>
        <v>0.86</v>
      </c>
      <c r="L14" s="0" t="str">
        <f aca="false">"10.15"</f>
        <v>10.15</v>
      </c>
      <c r="M14" s="0" t="str">
        <f aca="false">"26.7"</f>
        <v>26.7</v>
      </c>
    </row>
    <row r="15" customFormat="false" ht="12.8" hidden="false" customHeight="false" outlineLevel="0" collapsed="false">
      <c r="A15" s="0" t="s">
        <v>778</v>
      </c>
      <c r="B15" s="0" t="s">
        <v>9</v>
      </c>
      <c r="C15" s="0" t="str">
        <f aca="false">"204-215"</f>
        <v>204-215</v>
      </c>
      <c r="D15" s="0" t="s">
        <v>9</v>
      </c>
      <c r="E15" s="0" t="str">
        <f aca="false">"337-348"</f>
        <v>337-348</v>
      </c>
      <c r="F15" s="0" t="s">
        <v>792</v>
      </c>
      <c r="G15" s="0" t="s">
        <v>9</v>
      </c>
      <c r="H15" s="0" t="str">
        <f aca="false">"37-48"</f>
        <v>37-48</v>
      </c>
      <c r="I15" s="0" t="s">
        <v>120</v>
      </c>
      <c r="J15" s="0" t="str">
        <f aca="false">"36-47"</f>
        <v>36-47</v>
      </c>
      <c r="K15" s="0" t="str">
        <f aca="false">"0.91"</f>
        <v>0.91</v>
      </c>
      <c r="L15" s="0" t="str">
        <f aca="false">"9.74"</f>
        <v>9.74</v>
      </c>
      <c r="M15" s="0" t="str">
        <f aca="false">"32.8"</f>
        <v>32.8</v>
      </c>
    </row>
    <row r="16" customFormat="false" ht="12.8" hidden="false" customHeight="false" outlineLevel="0" collapsed="false">
      <c r="A16" s="0" t="s">
        <v>778</v>
      </c>
      <c r="B16" s="0" t="s">
        <v>9</v>
      </c>
      <c r="C16" s="0" t="str">
        <f aca="false">"200-211"</f>
        <v>200-211</v>
      </c>
      <c r="D16" s="0" t="s">
        <v>9</v>
      </c>
      <c r="E16" s="0" t="str">
        <f aca="false">"334-345"</f>
        <v>334-345</v>
      </c>
      <c r="F16" s="0" t="s">
        <v>793</v>
      </c>
      <c r="G16" s="0" t="s">
        <v>13</v>
      </c>
      <c r="H16" s="0" t="str">
        <f aca="false">"577-588"</f>
        <v>577-588</v>
      </c>
      <c r="I16" s="0" t="s">
        <v>9</v>
      </c>
      <c r="J16" s="0" t="str">
        <f aca="false">"574-585"</f>
        <v>574-585</v>
      </c>
      <c r="K16" s="0" t="str">
        <f aca="false">"0.86"</f>
        <v>0.86</v>
      </c>
      <c r="L16" s="0" t="str">
        <f aca="false">"10.52"</f>
        <v>10.52</v>
      </c>
      <c r="M16" s="0" t="str">
        <f aca="false">"24.2"</f>
        <v>24.2</v>
      </c>
    </row>
    <row r="17" customFormat="false" ht="12.8" hidden="false" customHeight="false" outlineLevel="0" collapsed="false">
      <c r="A17" s="0" t="s">
        <v>778</v>
      </c>
      <c r="B17" s="0" t="s">
        <v>9</v>
      </c>
      <c r="C17" s="0" t="str">
        <f aca="false">"204-215"</f>
        <v>204-215</v>
      </c>
      <c r="D17" s="0" t="s">
        <v>9</v>
      </c>
      <c r="E17" s="0" t="str">
        <f aca="false">"337-348"</f>
        <v>337-348</v>
      </c>
      <c r="F17" s="0" t="s">
        <v>794</v>
      </c>
      <c r="G17" s="0" t="s">
        <v>13</v>
      </c>
      <c r="H17" s="0" t="str">
        <f aca="false">"87-98"</f>
        <v>87-98</v>
      </c>
      <c r="I17" s="0" t="s">
        <v>9</v>
      </c>
      <c r="J17" s="0" t="str">
        <f aca="false">"13-24"</f>
        <v>13-24</v>
      </c>
      <c r="K17" s="0" t="str">
        <f aca="false">"0.60"</f>
        <v>0.60</v>
      </c>
      <c r="L17" s="0" t="str">
        <f aca="false">"10.08"</f>
        <v>10.08</v>
      </c>
      <c r="M17" s="0" t="str">
        <f aca="false">"20.4"</f>
        <v>20.4</v>
      </c>
    </row>
    <row r="18" customFormat="false" ht="12.8" hidden="false" customHeight="false" outlineLevel="0" collapsed="false">
      <c r="A18" s="0" t="s">
        <v>778</v>
      </c>
      <c r="B18" s="0" t="s">
        <v>9</v>
      </c>
      <c r="C18" s="0" t="str">
        <f aca="false">"200-211"</f>
        <v>200-211</v>
      </c>
      <c r="D18" s="0" t="s">
        <v>9</v>
      </c>
      <c r="E18" s="0" t="str">
        <f aca="false">"334-345"</f>
        <v>334-345</v>
      </c>
      <c r="F18" s="0" t="s">
        <v>795</v>
      </c>
      <c r="G18" s="0" t="s">
        <v>9</v>
      </c>
      <c r="H18" s="0" t="str">
        <f aca="false">"268-279"</f>
        <v>268-279</v>
      </c>
      <c r="I18" s="0" t="s">
        <v>9</v>
      </c>
      <c r="J18" s="0" t="str">
        <f aca="false">"498-509"</f>
        <v>498-509</v>
      </c>
      <c r="K18" s="0" t="str">
        <f aca="false">"0.90"</f>
        <v>0.90</v>
      </c>
      <c r="L18" s="0" t="str">
        <f aca="false">"9.78"</f>
        <v>9.78</v>
      </c>
      <c r="M18" s="0" t="str">
        <f aca="false">"28.7"</f>
        <v>28.7</v>
      </c>
    </row>
    <row r="19" customFormat="false" ht="12.8" hidden="false" customHeight="false" outlineLevel="0" collapsed="false">
      <c r="A19" s="0" t="s">
        <v>778</v>
      </c>
      <c r="B19" s="0" t="s">
        <v>9</v>
      </c>
      <c r="C19" s="0" t="str">
        <f aca="false">"204-215"</f>
        <v>204-215</v>
      </c>
      <c r="D19" s="0" t="s">
        <v>9</v>
      </c>
      <c r="E19" s="0" t="str">
        <f aca="false">"338-349"</f>
        <v>338-349</v>
      </c>
      <c r="F19" s="0" t="s">
        <v>796</v>
      </c>
      <c r="G19" s="0" t="s">
        <v>9</v>
      </c>
      <c r="H19" s="0" t="str">
        <f aca="false">"1749-1760"</f>
        <v>1749-1760</v>
      </c>
      <c r="I19" s="0" t="s">
        <v>9</v>
      </c>
      <c r="J19" s="0" t="str">
        <f aca="false">"1674-1685"</f>
        <v>1674-1685</v>
      </c>
      <c r="K19" s="0" t="str">
        <f aca="false">"0.75"</f>
        <v>0.75</v>
      </c>
      <c r="L19" s="0" t="str">
        <f aca="false">"10.27"</f>
        <v>10.27</v>
      </c>
      <c r="M19" s="0" t="str">
        <f aca="false">"29.2"</f>
        <v>29.2</v>
      </c>
    </row>
    <row r="20" customFormat="false" ht="12.8" hidden="false" customHeight="false" outlineLevel="0" collapsed="false">
      <c r="A20" s="0" t="s">
        <v>778</v>
      </c>
      <c r="B20" s="0" t="s">
        <v>9</v>
      </c>
      <c r="C20" s="0" t="str">
        <f aca="false">"207-218"</f>
        <v>207-218</v>
      </c>
      <c r="D20" s="0" t="s">
        <v>9</v>
      </c>
      <c r="E20" s="0" t="str">
        <f aca="false">"341-352"</f>
        <v>341-352</v>
      </c>
      <c r="F20" s="0" t="s">
        <v>797</v>
      </c>
      <c r="G20" s="0" t="s">
        <v>13</v>
      </c>
      <c r="H20" s="0" t="str">
        <f aca="false">"30-41"</f>
        <v>30-41</v>
      </c>
      <c r="I20" s="0" t="s">
        <v>9</v>
      </c>
      <c r="J20" s="0" t="str">
        <f aca="false">"29-40"</f>
        <v>29-40</v>
      </c>
      <c r="K20" s="0" t="str">
        <f aca="false">"0.83"</f>
        <v>0.83</v>
      </c>
      <c r="L20" s="0" t="str">
        <f aca="false">"10.33"</f>
        <v>10.33</v>
      </c>
      <c r="M20" s="0" t="str">
        <f aca="false">"28.4"</f>
        <v>28.4</v>
      </c>
    </row>
    <row r="21" customFormat="false" ht="12.8" hidden="false" customHeight="false" outlineLevel="0" collapsed="false">
      <c r="A21" s="0" t="s">
        <v>778</v>
      </c>
      <c r="B21" s="0" t="s">
        <v>9</v>
      </c>
      <c r="C21" s="0" t="str">
        <f aca="false">"200-211"</f>
        <v>200-211</v>
      </c>
      <c r="D21" s="0" t="s">
        <v>9</v>
      </c>
      <c r="E21" s="0" t="str">
        <f aca="false">"334-345"</f>
        <v>334-345</v>
      </c>
      <c r="F21" s="0" t="s">
        <v>798</v>
      </c>
      <c r="G21" s="0" t="s">
        <v>13</v>
      </c>
      <c r="H21" s="0" t="str">
        <f aca="false">"507-518"</f>
        <v>507-518</v>
      </c>
      <c r="I21" s="0" t="s">
        <v>13</v>
      </c>
      <c r="J21" s="0" t="str">
        <f aca="false">"413-424"</f>
        <v>413-424</v>
      </c>
      <c r="K21" s="0" t="str">
        <f aca="false">"0.66"</f>
        <v>0.66</v>
      </c>
      <c r="L21" s="0" t="str">
        <f aca="false">"10.13"</f>
        <v>10.13</v>
      </c>
      <c r="M21" s="0" t="str">
        <f aca="false">"21.8"</f>
        <v>21.8</v>
      </c>
    </row>
    <row r="22" customFormat="false" ht="12.8" hidden="false" customHeight="false" outlineLevel="0" collapsed="false">
      <c r="A22" s="0" t="s">
        <v>778</v>
      </c>
      <c r="B22" s="0" t="s">
        <v>9</v>
      </c>
      <c r="C22" s="0" t="str">
        <f aca="false">"207-218"</f>
        <v>207-218</v>
      </c>
      <c r="D22" s="0" t="s">
        <v>9</v>
      </c>
      <c r="E22" s="0" t="str">
        <f aca="false">"341-352"</f>
        <v>341-352</v>
      </c>
      <c r="F22" s="0" t="s">
        <v>799</v>
      </c>
      <c r="G22" s="0" t="s">
        <v>9</v>
      </c>
      <c r="H22" s="0" t="str">
        <f aca="false">"265-276"</f>
        <v>265-276</v>
      </c>
      <c r="I22" s="0" t="s">
        <v>9</v>
      </c>
      <c r="J22" s="0" t="str">
        <f aca="false">"405-416"</f>
        <v>405-416</v>
      </c>
      <c r="K22" s="0" t="str">
        <f aca="false">"0.63"</f>
        <v>0.63</v>
      </c>
      <c r="L22" s="0" t="str">
        <f aca="false">"11.22"</f>
        <v>11.22</v>
      </c>
      <c r="M22" s="0" t="str">
        <f aca="false">"30.2"</f>
        <v>30.2</v>
      </c>
    </row>
    <row r="23" customFormat="false" ht="12.8" hidden="false" customHeight="false" outlineLevel="0" collapsed="false">
      <c r="A23" s="0" t="s">
        <v>778</v>
      </c>
      <c r="B23" s="0" t="s">
        <v>9</v>
      </c>
      <c r="C23" s="0" t="str">
        <f aca="false">"207-218"</f>
        <v>207-218</v>
      </c>
      <c r="D23" s="0" t="s">
        <v>9</v>
      </c>
      <c r="E23" s="0" t="str">
        <f aca="false">"341-352"</f>
        <v>341-352</v>
      </c>
      <c r="F23" s="0" t="s">
        <v>800</v>
      </c>
      <c r="G23" s="0" t="s">
        <v>9</v>
      </c>
      <c r="H23" s="0" t="str">
        <f aca="false">"346-357"</f>
        <v>346-357</v>
      </c>
      <c r="I23" s="0" t="s">
        <v>9</v>
      </c>
      <c r="J23" s="0" t="str">
        <f aca="false">"264-275"</f>
        <v>264-275</v>
      </c>
      <c r="K23" s="0" t="str">
        <f aca="false">"0.90"</f>
        <v>0.90</v>
      </c>
      <c r="L23" s="0" t="str">
        <f aca="false">"11.51"</f>
        <v>11.51</v>
      </c>
      <c r="M23" s="0" t="str">
        <f aca="false">"31.0"</f>
        <v>31.0</v>
      </c>
    </row>
    <row r="24" customFormat="false" ht="12.8" hidden="false" customHeight="false" outlineLevel="0" collapsed="false">
      <c r="A24" s="0" t="s">
        <v>778</v>
      </c>
      <c r="B24" s="0" t="s">
        <v>9</v>
      </c>
      <c r="C24" s="0" t="str">
        <f aca="false">"207-218"</f>
        <v>207-218</v>
      </c>
      <c r="D24" s="0" t="s">
        <v>9</v>
      </c>
      <c r="E24" s="0" t="str">
        <f aca="false">"338-349"</f>
        <v>338-349</v>
      </c>
      <c r="F24" s="0" t="s">
        <v>801</v>
      </c>
      <c r="G24" s="0" t="s">
        <v>9</v>
      </c>
      <c r="H24" s="0" t="str">
        <f aca="false">"12-23"</f>
        <v>12-23</v>
      </c>
      <c r="I24" s="0" t="s">
        <v>13</v>
      </c>
      <c r="J24" s="0" t="str">
        <f aca="false">"131-142"</f>
        <v>131-142</v>
      </c>
      <c r="K24" s="0" t="str">
        <f aca="false">"0.70"</f>
        <v>0.70</v>
      </c>
      <c r="L24" s="0" t="str">
        <f aca="false">"9.75"</f>
        <v>9.75</v>
      </c>
      <c r="M24" s="0" t="str">
        <f aca="false">"32.6"</f>
        <v>32.6</v>
      </c>
    </row>
    <row r="25" customFormat="false" ht="12.8" hidden="false" customHeight="false" outlineLevel="0" collapsed="false">
      <c r="A25" s="0" t="s">
        <v>778</v>
      </c>
      <c r="B25" s="0" t="s">
        <v>9</v>
      </c>
      <c r="C25" s="0" t="str">
        <f aca="false">"200-211"</f>
        <v>200-211</v>
      </c>
      <c r="D25" s="0" t="s">
        <v>9</v>
      </c>
      <c r="E25" s="0" t="str">
        <f aca="false">"334-345"</f>
        <v>334-345</v>
      </c>
      <c r="F25" s="0" t="s">
        <v>802</v>
      </c>
      <c r="G25" s="0" t="s">
        <v>24</v>
      </c>
      <c r="H25" s="0" t="str">
        <f aca="false">"199-210"</f>
        <v>199-210</v>
      </c>
      <c r="I25" s="0" t="s">
        <v>120</v>
      </c>
      <c r="J25" s="0" t="str">
        <f aca="false">"49-60"</f>
        <v>49-60</v>
      </c>
      <c r="K25" s="0" t="str">
        <f aca="false">"0.69"</f>
        <v>0.69</v>
      </c>
      <c r="L25" s="0" t="str">
        <f aca="false">"9.77"</f>
        <v>9.77</v>
      </c>
      <c r="M25" s="0" t="str">
        <f aca="false">"29.4"</f>
        <v>29.4</v>
      </c>
    </row>
    <row r="26" customFormat="false" ht="12.8" hidden="false" customHeight="false" outlineLevel="0" collapsed="false">
      <c r="A26" s="0" t="s">
        <v>778</v>
      </c>
      <c r="B26" s="0" t="s">
        <v>9</v>
      </c>
      <c r="C26" s="0" t="str">
        <f aca="false">"203-214"</f>
        <v>203-214</v>
      </c>
      <c r="D26" s="0" t="s">
        <v>9</v>
      </c>
      <c r="E26" s="0" t="str">
        <f aca="false">"334-345"</f>
        <v>334-345</v>
      </c>
      <c r="F26" s="0" t="s">
        <v>803</v>
      </c>
      <c r="G26" s="0" t="s">
        <v>9</v>
      </c>
      <c r="H26" s="0" t="str">
        <f aca="false">"161-172"</f>
        <v>161-172</v>
      </c>
      <c r="I26" s="0" t="s">
        <v>9</v>
      </c>
      <c r="J26" s="0" t="str">
        <f aca="false">"86-97"</f>
        <v>86-97</v>
      </c>
      <c r="K26" s="0" t="str">
        <f aca="false">"0.60"</f>
        <v>0.60</v>
      </c>
      <c r="L26" s="0" t="str">
        <f aca="false">"10.15"</f>
        <v>10.15</v>
      </c>
      <c r="M26" s="0" t="str">
        <f aca="false">"18.4"</f>
        <v>18.4</v>
      </c>
    </row>
    <row r="27" customFormat="false" ht="12.8" hidden="false" customHeight="false" outlineLevel="0" collapsed="false">
      <c r="A27" s="0" t="s">
        <v>778</v>
      </c>
      <c r="B27" s="0" t="s">
        <v>9</v>
      </c>
      <c r="C27" s="0" t="str">
        <f aca="false">"204-215"</f>
        <v>204-215</v>
      </c>
      <c r="D27" s="0" t="s">
        <v>9</v>
      </c>
      <c r="E27" s="0" t="str">
        <f aca="false">"337-348"</f>
        <v>337-348</v>
      </c>
      <c r="F27" s="0" t="s">
        <v>804</v>
      </c>
      <c r="G27" s="0" t="s">
        <v>9</v>
      </c>
      <c r="H27" s="0" t="str">
        <f aca="false">"152-163"</f>
        <v>152-163</v>
      </c>
      <c r="I27" s="0" t="s">
        <v>9</v>
      </c>
      <c r="J27" s="0" t="str">
        <f aca="false">"22-33"</f>
        <v>22-33</v>
      </c>
      <c r="K27" s="0" t="str">
        <f aca="false">"0.81"</f>
        <v>0.81</v>
      </c>
      <c r="L27" s="0" t="str">
        <f aca="false">"9.63"</f>
        <v>9.63</v>
      </c>
      <c r="M27" s="0" t="str">
        <f aca="false">"40.2"</f>
        <v>40.2</v>
      </c>
    </row>
    <row r="28" customFormat="false" ht="12.8" hidden="false" customHeight="false" outlineLevel="0" collapsed="false">
      <c r="A28" s="0" t="s">
        <v>778</v>
      </c>
      <c r="B28" s="0" t="s">
        <v>9</v>
      </c>
      <c r="C28" s="0" t="str">
        <f aca="false">"207-218"</f>
        <v>207-218</v>
      </c>
      <c r="D28" s="0" t="s">
        <v>9</v>
      </c>
      <c r="E28" s="0" t="str">
        <f aca="false">"338-349"</f>
        <v>338-349</v>
      </c>
      <c r="F28" s="0" t="s">
        <v>805</v>
      </c>
      <c r="G28" s="0" t="s">
        <v>9</v>
      </c>
      <c r="H28" s="0" t="str">
        <f aca="false">"1888-1899"</f>
        <v>1888-1899</v>
      </c>
      <c r="I28" s="0" t="s">
        <v>9</v>
      </c>
      <c r="J28" s="0" t="str">
        <f aca="false">"1750-1761"</f>
        <v>1750-1761</v>
      </c>
      <c r="K28" s="0" t="str">
        <f aca="false">"0.52"</f>
        <v>0.52</v>
      </c>
      <c r="L28" s="0" t="str">
        <f aca="false">"9.98"</f>
        <v>9.98</v>
      </c>
      <c r="M28" s="0" t="str">
        <f aca="false">"22.9"</f>
        <v>22.9</v>
      </c>
    </row>
    <row r="29" customFormat="false" ht="12.8" hidden="false" customHeight="false" outlineLevel="0" collapsed="false">
      <c r="A29" s="0" t="s">
        <v>778</v>
      </c>
      <c r="B29" s="0" t="s">
        <v>9</v>
      </c>
      <c r="C29" s="0" t="str">
        <f aca="false">"204-215"</f>
        <v>204-215</v>
      </c>
      <c r="D29" s="0" t="s">
        <v>9</v>
      </c>
      <c r="E29" s="0" t="str">
        <f aca="false">"334-345"</f>
        <v>334-345</v>
      </c>
      <c r="F29" s="0" t="s">
        <v>806</v>
      </c>
      <c r="G29" s="0" t="s">
        <v>24</v>
      </c>
      <c r="H29" s="0" t="str">
        <f aca="false">"241-252"</f>
        <v>241-252</v>
      </c>
      <c r="I29" s="0" t="s">
        <v>24</v>
      </c>
      <c r="J29" s="0" t="str">
        <f aca="false">"330-341"</f>
        <v>330-341</v>
      </c>
      <c r="K29" s="0" t="str">
        <f aca="false">"1.00"</f>
        <v>1.00</v>
      </c>
      <c r="L29" s="0" t="str">
        <f aca="false">"10.96"</f>
        <v>10.96</v>
      </c>
      <c r="M29" s="0" t="str">
        <f aca="false">"31.1"</f>
        <v>31.1</v>
      </c>
    </row>
    <row r="30" customFormat="false" ht="12.8" hidden="false" customHeight="false" outlineLevel="0" collapsed="false">
      <c r="A30" s="0" t="s">
        <v>778</v>
      </c>
      <c r="B30" s="0" t="s">
        <v>9</v>
      </c>
      <c r="C30" s="0" t="str">
        <f aca="false">"200-211"</f>
        <v>200-211</v>
      </c>
      <c r="D30" s="0" t="s">
        <v>9</v>
      </c>
      <c r="E30" s="0" t="str">
        <f aca="false">"334-345"</f>
        <v>334-345</v>
      </c>
      <c r="F30" s="0" t="s">
        <v>807</v>
      </c>
      <c r="G30" s="0" t="s">
        <v>13</v>
      </c>
      <c r="H30" s="0" t="str">
        <f aca="false">"237-248"</f>
        <v>237-248</v>
      </c>
      <c r="I30" s="0" t="s">
        <v>120</v>
      </c>
      <c r="J30" s="0" t="str">
        <f aca="false">"63-74"</f>
        <v>63-74</v>
      </c>
      <c r="K30" s="0" t="str">
        <f aca="false">"0.61"</f>
        <v>0.61</v>
      </c>
      <c r="L30" s="0" t="str">
        <f aca="false">"9.43"</f>
        <v>9.43</v>
      </c>
      <c r="M30" s="0" t="str">
        <f aca="false">"22.7"</f>
        <v>22.7</v>
      </c>
    </row>
    <row r="31" customFormat="false" ht="12.8" hidden="false" customHeight="false" outlineLevel="0" collapsed="false">
      <c r="A31" s="0" t="s">
        <v>778</v>
      </c>
      <c r="B31" s="0" t="s">
        <v>9</v>
      </c>
      <c r="C31" s="0" t="str">
        <f aca="false">"204-215"</f>
        <v>204-215</v>
      </c>
      <c r="D31" s="0" t="s">
        <v>9</v>
      </c>
      <c r="E31" s="0" t="str">
        <f aca="false">"337-348"</f>
        <v>337-348</v>
      </c>
      <c r="F31" s="0" t="s">
        <v>808</v>
      </c>
      <c r="G31" s="0" t="s">
        <v>9</v>
      </c>
      <c r="H31" s="0" t="str">
        <f aca="false">"687-698"</f>
        <v>687-698</v>
      </c>
      <c r="I31" s="0" t="s">
        <v>9</v>
      </c>
      <c r="J31" s="0" t="str">
        <f aca="false">"748-759"</f>
        <v>748-759</v>
      </c>
      <c r="K31" s="0" t="str">
        <f aca="false">"1.07"</f>
        <v>1.07</v>
      </c>
      <c r="L31" s="0" t="str">
        <f aca="false">"11.05"</f>
        <v>11.05</v>
      </c>
      <c r="M31" s="0" t="str">
        <f aca="false">"32.0"</f>
        <v>32.0</v>
      </c>
    </row>
    <row r="32" customFormat="false" ht="12.8" hidden="false" customHeight="false" outlineLevel="0" collapsed="false">
      <c r="A32" s="0" t="s">
        <v>778</v>
      </c>
      <c r="B32" s="0" t="s">
        <v>9</v>
      </c>
      <c r="C32" s="0" t="str">
        <f aca="false">"200-211"</f>
        <v>200-211</v>
      </c>
      <c r="D32" s="0" t="s">
        <v>9</v>
      </c>
      <c r="E32" s="0" t="str">
        <f aca="false">"334-345"</f>
        <v>334-345</v>
      </c>
      <c r="F32" s="0" t="s">
        <v>809</v>
      </c>
      <c r="G32" s="0" t="s">
        <v>9</v>
      </c>
      <c r="H32" s="0" t="str">
        <f aca="false">"210-221"</f>
        <v>210-221</v>
      </c>
      <c r="I32" s="0" t="s">
        <v>9</v>
      </c>
      <c r="J32" s="0" t="str">
        <f aca="false">"431-442"</f>
        <v>431-442</v>
      </c>
      <c r="K32" s="0" t="str">
        <f aca="false">"0.71"</f>
        <v>0.71</v>
      </c>
      <c r="L32" s="0" t="str">
        <f aca="false">"10.25"</f>
        <v>10.25</v>
      </c>
      <c r="M32" s="0" t="str">
        <f aca="false">"17.6"</f>
        <v>17.6</v>
      </c>
    </row>
    <row r="33" customFormat="false" ht="12.8" hidden="false" customHeight="false" outlineLevel="0" collapsed="false">
      <c r="A33" s="0" t="s">
        <v>778</v>
      </c>
      <c r="B33" s="0" t="s">
        <v>9</v>
      </c>
      <c r="C33" s="0" t="str">
        <f aca="false">"200-211"</f>
        <v>200-211</v>
      </c>
      <c r="D33" s="0" t="s">
        <v>9</v>
      </c>
      <c r="E33" s="0" t="str">
        <f aca="false">"334-345"</f>
        <v>334-345</v>
      </c>
      <c r="F33" s="0" t="s">
        <v>810</v>
      </c>
      <c r="G33" s="0" t="s">
        <v>13</v>
      </c>
      <c r="H33" s="0" t="str">
        <f aca="false">"375-386"</f>
        <v>375-386</v>
      </c>
      <c r="I33" s="0" t="s">
        <v>13</v>
      </c>
      <c r="J33" s="0" t="str">
        <f aca="false">"287-298"</f>
        <v>287-298</v>
      </c>
      <c r="K33" s="0" t="str">
        <f aca="false">"0.80"</f>
        <v>0.80</v>
      </c>
      <c r="L33" s="0" t="str">
        <f aca="false">"9.24"</f>
        <v>9.24</v>
      </c>
      <c r="M33" s="0" t="str">
        <f aca="false">"23.8"</f>
        <v>23.8</v>
      </c>
    </row>
    <row r="34" customFormat="false" ht="12.8" hidden="false" customHeight="false" outlineLevel="0" collapsed="false">
      <c r="A34" s="0" t="s">
        <v>778</v>
      </c>
      <c r="B34" s="0" t="s">
        <v>9</v>
      </c>
      <c r="C34" s="0" t="str">
        <f aca="false">"206-217"</f>
        <v>206-217</v>
      </c>
      <c r="D34" s="0" t="s">
        <v>9</v>
      </c>
      <c r="E34" s="0" t="str">
        <f aca="false">"338-349"</f>
        <v>338-349</v>
      </c>
      <c r="F34" s="0" t="s">
        <v>811</v>
      </c>
      <c r="G34" s="0" t="s">
        <v>13</v>
      </c>
      <c r="H34" s="0" t="str">
        <f aca="false">"403-414"</f>
        <v>403-414</v>
      </c>
      <c r="I34" s="0" t="s">
        <v>13</v>
      </c>
      <c r="J34" s="0" t="str">
        <f aca="false">"444-455"</f>
        <v>444-455</v>
      </c>
      <c r="K34" s="0" t="str">
        <f aca="false">"1.06"</f>
        <v>1.06</v>
      </c>
      <c r="L34" s="0" t="str">
        <f aca="false">"8.94"</f>
        <v>8.94</v>
      </c>
      <c r="M34" s="0" t="str">
        <f aca="false">"31.7"</f>
        <v>31.7</v>
      </c>
    </row>
    <row r="35" customFormat="false" ht="12.8" hidden="false" customHeight="false" outlineLevel="0" collapsed="false">
      <c r="A35" s="0" t="s">
        <v>778</v>
      </c>
      <c r="B35" s="0" t="s">
        <v>9</v>
      </c>
      <c r="C35" s="0" t="str">
        <f aca="false">"200-211"</f>
        <v>200-211</v>
      </c>
      <c r="D35" s="0" t="s">
        <v>9</v>
      </c>
      <c r="E35" s="0" t="str">
        <f aca="false">"334-345"</f>
        <v>334-345</v>
      </c>
      <c r="F35" s="0" t="s">
        <v>812</v>
      </c>
      <c r="G35" s="0" t="s">
        <v>9</v>
      </c>
      <c r="H35" s="0" t="str">
        <f aca="false">"197-208"</f>
        <v>197-208</v>
      </c>
      <c r="I35" s="0" t="s">
        <v>9</v>
      </c>
      <c r="J35" s="0" t="str">
        <f aca="false">"138-149"</f>
        <v>138-149</v>
      </c>
      <c r="K35" s="0" t="str">
        <f aca="false">"1.02"</f>
        <v>1.02</v>
      </c>
      <c r="L35" s="0" t="str">
        <f aca="false">"8.82"</f>
        <v>8.82</v>
      </c>
      <c r="M35" s="0" t="str">
        <f aca="false">"38.3"</f>
        <v>38.3</v>
      </c>
    </row>
    <row r="36" customFormat="false" ht="12.8" hidden="false" customHeight="false" outlineLevel="0" collapsed="false">
      <c r="A36" s="0" t="s">
        <v>778</v>
      </c>
      <c r="B36" s="0" t="s">
        <v>9</v>
      </c>
      <c r="C36" s="0" t="str">
        <f aca="false">"200-211"</f>
        <v>200-211</v>
      </c>
      <c r="D36" s="0" t="s">
        <v>9</v>
      </c>
      <c r="E36" s="0" t="str">
        <f aca="false">"334-345"</f>
        <v>334-345</v>
      </c>
      <c r="F36" s="0" t="s">
        <v>813</v>
      </c>
      <c r="G36" s="0" t="s">
        <v>9</v>
      </c>
      <c r="H36" s="0" t="str">
        <f aca="false">"61-72"</f>
        <v>61-72</v>
      </c>
      <c r="I36" s="0" t="s">
        <v>13</v>
      </c>
      <c r="J36" s="0" t="str">
        <f aca="false">"61-72"</f>
        <v>61-72</v>
      </c>
      <c r="K36" s="0" t="str">
        <f aca="false">"1.07"</f>
        <v>1.07</v>
      </c>
      <c r="L36" s="0" t="str">
        <f aca="false">"8.64"</f>
        <v>8.64</v>
      </c>
      <c r="M36" s="0" t="str">
        <f aca="false">"21.1"</f>
        <v>21.1</v>
      </c>
    </row>
    <row r="37" customFormat="false" ht="12.8" hidden="false" customHeight="false" outlineLevel="0" collapsed="false">
      <c r="A37" s="0" t="s">
        <v>778</v>
      </c>
      <c r="B37" s="0" t="s">
        <v>9</v>
      </c>
      <c r="C37" s="0" t="str">
        <f aca="false">"204-215"</f>
        <v>204-215</v>
      </c>
      <c r="D37" s="0" t="s">
        <v>9</v>
      </c>
      <c r="E37" s="0" t="str">
        <f aca="false">"336-347"</f>
        <v>336-347</v>
      </c>
      <c r="F37" s="0" t="s">
        <v>814</v>
      </c>
      <c r="G37" s="0" t="s">
        <v>9</v>
      </c>
      <c r="H37" s="0" t="str">
        <f aca="false">"52-63"</f>
        <v>52-63</v>
      </c>
      <c r="I37" s="0" t="s">
        <v>9</v>
      </c>
      <c r="J37" s="0" t="str">
        <f aca="false">"108-119"</f>
        <v>108-119</v>
      </c>
      <c r="K37" s="0" t="str">
        <f aca="false">"1.08"</f>
        <v>1.08</v>
      </c>
      <c r="L37" s="0" t="str">
        <f aca="false">"8.79"</f>
        <v>8.79</v>
      </c>
      <c r="M37" s="0" t="str">
        <f aca="false">"8.9"</f>
        <v>8.9</v>
      </c>
    </row>
    <row r="38" customFormat="false" ht="12.8" hidden="false" customHeight="false" outlineLevel="0" collapsed="false">
      <c r="A38" s="0" t="s">
        <v>778</v>
      </c>
      <c r="B38" s="0" t="s">
        <v>9</v>
      </c>
      <c r="C38" s="0" t="str">
        <f aca="false">"200-211"</f>
        <v>200-211</v>
      </c>
      <c r="D38" s="0" t="s">
        <v>9</v>
      </c>
      <c r="E38" s="0" t="str">
        <f aca="false">"334-345"</f>
        <v>334-345</v>
      </c>
      <c r="F38" s="0" t="s">
        <v>815</v>
      </c>
      <c r="G38" s="0" t="s">
        <v>120</v>
      </c>
      <c r="H38" s="0" t="str">
        <f aca="false">"68-79"</f>
        <v>68-79</v>
      </c>
      <c r="I38" s="0" t="s">
        <v>9</v>
      </c>
      <c r="J38" s="0" t="str">
        <f aca="false">"67-78"</f>
        <v>67-78</v>
      </c>
      <c r="K38" s="0" t="str">
        <f aca="false">"0.70"</f>
        <v>0.70</v>
      </c>
      <c r="L38" s="0" t="str">
        <f aca="false">"9.77"</f>
        <v>9.77</v>
      </c>
      <c r="M38" s="0" t="str">
        <f aca="false">"16.7"</f>
        <v>16.7</v>
      </c>
    </row>
    <row r="39" customFormat="false" ht="12.8" hidden="false" customHeight="false" outlineLevel="0" collapsed="false">
      <c r="A39" s="0" t="s">
        <v>778</v>
      </c>
      <c r="B39" s="0" t="s">
        <v>9</v>
      </c>
      <c r="C39" s="0" t="str">
        <f aca="false">"200-211"</f>
        <v>200-211</v>
      </c>
      <c r="D39" s="0" t="s">
        <v>9</v>
      </c>
      <c r="E39" s="0" t="str">
        <f aca="false">"334-345"</f>
        <v>334-345</v>
      </c>
      <c r="F39" s="0" t="s">
        <v>816</v>
      </c>
      <c r="G39" s="0" t="s">
        <v>120</v>
      </c>
      <c r="H39" s="0" t="str">
        <f aca="false">"429-440"</f>
        <v>429-440</v>
      </c>
      <c r="I39" s="0" t="s">
        <v>9</v>
      </c>
      <c r="J39" s="0" t="str">
        <f aca="false">"428-439"</f>
        <v>428-439</v>
      </c>
      <c r="K39" s="0" t="str">
        <f aca="false">"0.76"</f>
        <v>0.76</v>
      </c>
      <c r="L39" s="0" t="str">
        <f aca="false">"10.42"</f>
        <v>10.42</v>
      </c>
      <c r="M39" s="0" t="str">
        <f aca="false">"26.1"</f>
        <v>26.1</v>
      </c>
    </row>
    <row r="40" customFormat="false" ht="12.8" hidden="false" customHeight="false" outlineLevel="0" collapsed="false">
      <c r="A40" s="0" t="s">
        <v>778</v>
      </c>
      <c r="B40" s="0" t="s">
        <v>9</v>
      </c>
      <c r="C40" s="0" t="str">
        <f aca="false">"200-211"</f>
        <v>200-211</v>
      </c>
      <c r="D40" s="0" t="s">
        <v>9</v>
      </c>
      <c r="E40" s="0" t="str">
        <f aca="false">"334-345"</f>
        <v>334-345</v>
      </c>
      <c r="F40" s="0" t="s">
        <v>817</v>
      </c>
      <c r="G40" s="0" t="s">
        <v>120</v>
      </c>
      <c r="H40" s="0" t="str">
        <f aca="false">"21-32"</f>
        <v>21-32</v>
      </c>
      <c r="I40" s="0" t="s">
        <v>13</v>
      </c>
      <c r="J40" s="0" t="str">
        <f aca="false">"20-31"</f>
        <v>20-31</v>
      </c>
      <c r="K40" s="0" t="str">
        <f aca="false">"0.82"</f>
        <v>0.82</v>
      </c>
      <c r="L40" s="0" t="str">
        <f aca="false">"10.28"</f>
        <v>10.28</v>
      </c>
      <c r="M40" s="0" t="str">
        <f aca="false">"23.6"</f>
        <v>23.6</v>
      </c>
    </row>
    <row r="41" customFormat="false" ht="12.8" hidden="false" customHeight="false" outlineLevel="0" collapsed="false">
      <c r="A41" s="0" t="s">
        <v>778</v>
      </c>
      <c r="B41" s="0" t="s">
        <v>9</v>
      </c>
      <c r="C41" s="0" t="str">
        <f aca="false">"200-211"</f>
        <v>200-211</v>
      </c>
      <c r="D41" s="0" t="s">
        <v>9</v>
      </c>
      <c r="E41" s="0" t="str">
        <f aca="false">"334-345"</f>
        <v>334-345</v>
      </c>
      <c r="F41" s="0" t="s">
        <v>818</v>
      </c>
      <c r="G41" s="0" t="s">
        <v>71</v>
      </c>
      <c r="H41" s="0" t="str">
        <f aca="false">"573-584"</f>
        <v>573-584</v>
      </c>
      <c r="I41" s="0" t="s">
        <v>120</v>
      </c>
      <c r="J41" s="0" t="str">
        <f aca="false">"572-583"</f>
        <v>572-583</v>
      </c>
      <c r="K41" s="0" t="str">
        <f aca="false">"0.79"</f>
        <v>0.79</v>
      </c>
      <c r="L41" s="0" t="str">
        <f aca="false">"10.63"</f>
        <v>10.63</v>
      </c>
      <c r="M41" s="0" t="str">
        <f aca="false">"22.0"</f>
        <v>22.0</v>
      </c>
    </row>
    <row r="42" customFormat="false" ht="12.8" hidden="false" customHeight="false" outlineLevel="0" collapsed="false">
      <c r="A42" s="0" t="s">
        <v>778</v>
      </c>
      <c r="B42" s="0" t="s">
        <v>9</v>
      </c>
      <c r="C42" s="0" t="str">
        <f aca="false">"204-215"</f>
        <v>204-215</v>
      </c>
      <c r="D42" s="0" t="s">
        <v>9</v>
      </c>
      <c r="E42" s="0" t="str">
        <f aca="false">"337-348"</f>
        <v>337-348</v>
      </c>
      <c r="F42" s="0" t="s">
        <v>819</v>
      </c>
      <c r="G42" s="0" t="s">
        <v>9</v>
      </c>
      <c r="H42" s="0" t="str">
        <f aca="false">"44-55"</f>
        <v>44-55</v>
      </c>
      <c r="I42" s="0" t="s">
        <v>120</v>
      </c>
      <c r="J42" s="0" t="str">
        <f aca="false">"43-54"</f>
        <v>43-54</v>
      </c>
      <c r="K42" s="0" t="str">
        <f aca="false">"0.80"</f>
        <v>0.80</v>
      </c>
      <c r="L42" s="0" t="str">
        <f aca="false">"10.50"</f>
        <v>10.50</v>
      </c>
      <c r="M42" s="0" t="str">
        <f aca="false">"22.0"</f>
        <v>22.0</v>
      </c>
    </row>
    <row r="43" customFormat="false" ht="12.8" hidden="false" customHeight="false" outlineLevel="0" collapsed="false">
      <c r="A43" s="0" t="s">
        <v>778</v>
      </c>
      <c r="B43" s="0" t="s">
        <v>9</v>
      </c>
      <c r="C43" s="0" t="str">
        <f aca="false">"200-211"</f>
        <v>200-211</v>
      </c>
      <c r="D43" s="0" t="s">
        <v>9</v>
      </c>
      <c r="E43" s="0" t="str">
        <f aca="false">"334-345"</f>
        <v>334-345</v>
      </c>
      <c r="F43" s="0" t="s">
        <v>820</v>
      </c>
      <c r="G43" s="0" t="s">
        <v>9</v>
      </c>
      <c r="H43" s="0" t="str">
        <f aca="false">"200-211"</f>
        <v>200-211</v>
      </c>
      <c r="I43" s="0" t="s">
        <v>9</v>
      </c>
      <c r="J43" s="0" t="str">
        <f aca="false">"145-156"</f>
        <v>145-156</v>
      </c>
      <c r="K43" s="0" t="str">
        <f aca="false">"0.98"</f>
        <v>0.98</v>
      </c>
      <c r="L43" s="0" t="str">
        <f aca="false">"10.07"</f>
        <v>10.07</v>
      </c>
      <c r="M43" s="0" t="str">
        <f aca="false">"38.0"</f>
        <v>38.0</v>
      </c>
    </row>
    <row r="44" customFormat="false" ht="12.8" hidden="false" customHeight="false" outlineLevel="0" collapsed="false">
      <c r="A44" s="0" t="s">
        <v>778</v>
      </c>
      <c r="B44" s="0" t="s">
        <v>9</v>
      </c>
      <c r="C44" s="0" t="str">
        <f aca="false">"200-211"</f>
        <v>200-211</v>
      </c>
      <c r="D44" s="0" t="s">
        <v>9</v>
      </c>
      <c r="E44" s="0" t="str">
        <f aca="false">"334-345"</f>
        <v>334-345</v>
      </c>
      <c r="F44" s="0" t="s">
        <v>821</v>
      </c>
      <c r="G44" s="0" t="s">
        <v>71</v>
      </c>
      <c r="H44" s="0" t="str">
        <f aca="false">"144-155"</f>
        <v>144-155</v>
      </c>
      <c r="I44" s="0" t="s">
        <v>120</v>
      </c>
      <c r="J44" s="0" t="str">
        <f aca="false">"143-154"</f>
        <v>143-154</v>
      </c>
      <c r="K44" s="0" t="str">
        <f aca="false">"0.73"</f>
        <v>0.73</v>
      </c>
      <c r="L44" s="0" t="str">
        <f aca="false">"10.64"</f>
        <v>10.64</v>
      </c>
      <c r="M44" s="0" t="str">
        <f aca="false">"16.8"</f>
        <v>16.8</v>
      </c>
    </row>
    <row r="45" customFormat="false" ht="12.8" hidden="false" customHeight="false" outlineLevel="0" collapsed="false">
      <c r="A45" s="0" t="s">
        <v>778</v>
      </c>
      <c r="B45" s="0" t="s">
        <v>9</v>
      </c>
      <c r="C45" s="0" t="str">
        <f aca="false">"207-218"</f>
        <v>207-218</v>
      </c>
      <c r="D45" s="0" t="s">
        <v>9</v>
      </c>
      <c r="E45" s="0" t="str">
        <f aca="false">"341-352"</f>
        <v>341-352</v>
      </c>
      <c r="F45" s="0" t="s">
        <v>822</v>
      </c>
      <c r="G45" s="0" t="s">
        <v>9</v>
      </c>
      <c r="H45" s="0" t="str">
        <f aca="false">"115-126"</f>
        <v>115-126</v>
      </c>
      <c r="I45" s="0" t="s">
        <v>9</v>
      </c>
      <c r="J45" s="0" t="str">
        <f aca="false">"77-88"</f>
        <v>77-88</v>
      </c>
      <c r="K45" s="0" t="str">
        <f aca="false">"0.64"</f>
        <v>0.64</v>
      </c>
      <c r="L45" s="0" t="str">
        <f aca="false">"10.32"</f>
        <v>10.32</v>
      </c>
      <c r="M45" s="0" t="str">
        <f aca="false">"27.0"</f>
        <v>27.0</v>
      </c>
    </row>
    <row r="46" customFormat="false" ht="12.8" hidden="false" customHeight="false" outlineLevel="0" collapsed="false">
      <c r="A46" s="0" t="s">
        <v>778</v>
      </c>
      <c r="B46" s="0" t="s">
        <v>9</v>
      </c>
      <c r="C46" s="0" t="str">
        <f aca="false">"200-211"</f>
        <v>200-211</v>
      </c>
      <c r="D46" s="0" t="s">
        <v>9</v>
      </c>
      <c r="E46" s="0" t="str">
        <f aca="false">"334-345"</f>
        <v>334-345</v>
      </c>
      <c r="F46" s="0" t="s">
        <v>823</v>
      </c>
      <c r="G46" s="0" t="s">
        <v>120</v>
      </c>
      <c r="H46" s="0" t="str">
        <f aca="false">"171-182"</f>
        <v>171-182</v>
      </c>
      <c r="I46" s="0" t="s">
        <v>9</v>
      </c>
      <c r="J46" s="0" t="str">
        <f aca="false">"170-181"</f>
        <v>170-181</v>
      </c>
      <c r="K46" s="0" t="str">
        <f aca="false">"0.84"</f>
        <v>0.84</v>
      </c>
      <c r="L46" s="0" t="str">
        <f aca="false">"10.85"</f>
        <v>10.85</v>
      </c>
      <c r="M46" s="0" t="str">
        <f aca="false">"17.7"</f>
        <v>17.7</v>
      </c>
    </row>
    <row r="47" customFormat="false" ht="12.8" hidden="false" customHeight="false" outlineLevel="0" collapsed="false">
      <c r="A47" s="0" t="s">
        <v>778</v>
      </c>
      <c r="B47" s="0" t="s">
        <v>9</v>
      </c>
      <c r="C47" s="0" t="str">
        <f aca="false">"204-215"</f>
        <v>204-215</v>
      </c>
      <c r="D47" s="0" t="s">
        <v>9</v>
      </c>
      <c r="E47" s="0" t="str">
        <f aca="false">"337-348"</f>
        <v>337-348</v>
      </c>
      <c r="F47" s="0" t="s">
        <v>824</v>
      </c>
      <c r="G47" s="0" t="s">
        <v>24</v>
      </c>
      <c r="H47" s="0" t="str">
        <f aca="false">"448-459"</f>
        <v>448-459</v>
      </c>
      <c r="I47" s="0" t="s">
        <v>24</v>
      </c>
      <c r="J47" s="0" t="str">
        <f aca="false">"174-185"</f>
        <v>174-185</v>
      </c>
      <c r="K47" s="0" t="str">
        <f aca="false">"0.86"</f>
        <v>0.86</v>
      </c>
      <c r="L47" s="0" t="str">
        <f aca="false">"10.95"</f>
        <v>10.95</v>
      </c>
      <c r="M47" s="0" t="str">
        <f aca="false">"28.7"</f>
        <v>28.7</v>
      </c>
    </row>
    <row r="48" customFormat="false" ht="12.8" hidden="false" customHeight="false" outlineLevel="0" collapsed="false">
      <c r="A48" s="0" t="s">
        <v>778</v>
      </c>
      <c r="B48" s="0" t="s">
        <v>9</v>
      </c>
      <c r="C48" s="0" t="str">
        <f aca="false">"200-211"</f>
        <v>200-211</v>
      </c>
      <c r="D48" s="0" t="s">
        <v>9</v>
      </c>
      <c r="E48" s="0" t="str">
        <f aca="false">"334-345"</f>
        <v>334-345</v>
      </c>
      <c r="F48" s="0" t="s">
        <v>825</v>
      </c>
      <c r="G48" s="0" t="s">
        <v>71</v>
      </c>
      <c r="H48" s="0" t="str">
        <f aca="false">"956-967"</f>
        <v>956-967</v>
      </c>
      <c r="I48" s="0" t="s">
        <v>71</v>
      </c>
      <c r="J48" s="0" t="str">
        <f aca="false">"1044-1055"</f>
        <v>1044-1055</v>
      </c>
      <c r="K48" s="0" t="str">
        <f aca="false">"0.82"</f>
        <v>0.82</v>
      </c>
      <c r="L48" s="0" t="str">
        <f aca="false">"10.10"</f>
        <v>10.10</v>
      </c>
      <c r="M48" s="0" t="str">
        <f aca="false">"20.5"</f>
        <v>20.5</v>
      </c>
    </row>
    <row r="49" customFormat="false" ht="12.8" hidden="false" customHeight="false" outlineLevel="0" collapsed="false">
      <c r="A49" s="0" t="s">
        <v>778</v>
      </c>
      <c r="B49" s="0" t="s">
        <v>9</v>
      </c>
      <c r="C49" s="0" t="str">
        <f aca="false">"200-211"</f>
        <v>200-211</v>
      </c>
      <c r="D49" s="0" t="s">
        <v>9</v>
      </c>
      <c r="E49" s="0" t="str">
        <f aca="false">"334-345"</f>
        <v>334-345</v>
      </c>
      <c r="F49" s="0" t="s">
        <v>826</v>
      </c>
      <c r="G49" s="0" t="s">
        <v>827</v>
      </c>
      <c r="H49" s="0" t="str">
        <f aca="false">"12-23"</f>
        <v>12-23</v>
      </c>
      <c r="I49" s="0" t="s">
        <v>70</v>
      </c>
      <c r="J49" s="0" t="str">
        <f aca="false">"13-24"</f>
        <v>13-24</v>
      </c>
      <c r="K49" s="0" t="str">
        <f aca="false">"0.89"</f>
        <v>0.89</v>
      </c>
      <c r="L49" s="0" t="str">
        <f aca="false">"10.35"</f>
        <v>10.35</v>
      </c>
      <c r="M49" s="0" t="str">
        <f aca="false">"19.4"</f>
        <v>19.4</v>
      </c>
    </row>
    <row r="50" customFormat="false" ht="12.8" hidden="false" customHeight="false" outlineLevel="0" collapsed="false">
      <c r="A50" s="0" t="s">
        <v>778</v>
      </c>
      <c r="B50" s="0" t="s">
        <v>9</v>
      </c>
      <c r="C50" s="0" t="str">
        <f aca="false">"204-215"</f>
        <v>204-215</v>
      </c>
      <c r="D50" s="0" t="s">
        <v>9</v>
      </c>
      <c r="E50" s="0" t="str">
        <f aca="false">"337-348"</f>
        <v>337-348</v>
      </c>
      <c r="F50" s="0" t="s">
        <v>828</v>
      </c>
      <c r="G50" s="0" t="s">
        <v>9</v>
      </c>
      <c r="H50" s="0" t="str">
        <f aca="false">"123-134"</f>
        <v>123-134</v>
      </c>
      <c r="I50" s="0" t="s">
        <v>9</v>
      </c>
      <c r="J50" s="0" t="str">
        <f aca="false">"40-51"</f>
        <v>40-51</v>
      </c>
      <c r="K50" s="0" t="str">
        <f aca="false">"0.85"</f>
        <v>0.85</v>
      </c>
      <c r="L50" s="0" t="str">
        <f aca="false">"9.94"</f>
        <v>9.94</v>
      </c>
      <c r="M50" s="0" t="str">
        <f aca="false">"12.5"</f>
        <v>12.5</v>
      </c>
    </row>
    <row r="51" customFormat="false" ht="12.8" hidden="false" customHeight="false" outlineLevel="0" collapsed="false">
      <c r="A51" s="0" t="s">
        <v>778</v>
      </c>
      <c r="B51" s="0" t="s">
        <v>9</v>
      </c>
      <c r="C51" s="0" t="str">
        <f aca="false">"200-211"</f>
        <v>200-211</v>
      </c>
      <c r="D51" s="0" t="s">
        <v>9</v>
      </c>
      <c r="E51" s="0" t="str">
        <f aca="false">"334-345"</f>
        <v>334-345</v>
      </c>
      <c r="F51" s="0" t="s">
        <v>829</v>
      </c>
      <c r="G51" s="0" t="s">
        <v>13</v>
      </c>
      <c r="H51" s="0" t="str">
        <f aca="false">"98-109"</f>
        <v>98-109</v>
      </c>
      <c r="I51" s="0" t="s">
        <v>9</v>
      </c>
      <c r="J51" s="0" t="str">
        <f aca="false">"99-110"</f>
        <v>99-110</v>
      </c>
      <c r="K51" s="0" t="str">
        <f aca="false">"0.67"</f>
        <v>0.67</v>
      </c>
      <c r="L51" s="0" t="str">
        <f aca="false">"9.79"</f>
        <v>9.79</v>
      </c>
      <c r="M51" s="0" t="str">
        <f aca="false">"17.1"</f>
        <v>17.1</v>
      </c>
    </row>
    <row r="52" customFormat="false" ht="12.8" hidden="false" customHeight="false" outlineLevel="0" collapsed="false">
      <c r="A52" s="0" t="s">
        <v>778</v>
      </c>
      <c r="B52" s="0" t="s">
        <v>9</v>
      </c>
      <c r="C52" s="0" t="str">
        <f aca="false">"204-215"</f>
        <v>204-215</v>
      </c>
      <c r="D52" s="0" t="s">
        <v>9</v>
      </c>
      <c r="E52" s="0" t="str">
        <f aca="false">"337-348"</f>
        <v>337-348</v>
      </c>
      <c r="F52" s="0" t="s">
        <v>830</v>
      </c>
      <c r="G52" s="0" t="s">
        <v>9</v>
      </c>
      <c r="H52" s="0" t="str">
        <f aca="false">"146-157"</f>
        <v>146-157</v>
      </c>
      <c r="I52" s="0" t="s">
        <v>9</v>
      </c>
      <c r="J52" s="0" t="str">
        <f aca="false">"191-202"</f>
        <v>191-202</v>
      </c>
      <c r="K52" s="0" t="str">
        <f aca="false">"1.00"</f>
        <v>1.00</v>
      </c>
      <c r="L52" s="0" t="str">
        <f aca="false">"10.09"</f>
        <v>10.09</v>
      </c>
      <c r="M52" s="0" t="str">
        <f aca="false">"21.8"</f>
        <v>21.8</v>
      </c>
    </row>
    <row r="53" customFormat="false" ht="12.8" hidden="false" customHeight="false" outlineLevel="0" collapsed="false">
      <c r="A53" s="0" t="s">
        <v>778</v>
      </c>
      <c r="B53" s="0" t="s">
        <v>9</v>
      </c>
      <c r="C53" s="0" t="str">
        <f aca="false">"200-211"</f>
        <v>200-211</v>
      </c>
      <c r="D53" s="0" t="s">
        <v>9</v>
      </c>
      <c r="E53" s="0" t="str">
        <f aca="false">"334-345"</f>
        <v>334-345</v>
      </c>
      <c r="F53" s="0" t="s">
        <v>831</v>
      </c>
      <c r="G53" s="0" t="s">
        <v>9</v>
      </c>
      <c r="H53" s="0" t="str">
        <f aca="false">"251-262"</f>
        <v>251-262</v>
      </c>
      <c r="I53" s="0" t="s">
        <v>9</v>
      </c>
      <c r="J53" s="0" t="str">
        <f aca="false">"289-300"</f>
        <v>289-300</v>
      </c>
      <c r="K53" s="0" t="str">
        <f aca="false">"1.23"</f>
        <v>1.23</v>
      </c>
      <c r="L53" s="0" t="str">
        <f aca="false">"10.86"</f>
        <v>10.86</v>
      </c>
      <c r="M53" s="0" t="str">
        <f aca="false">"9.6"</f>
        <v>9.6</v>
      </c>
    </row>
    <row r="54" customFormat="false" ht="12.8" hidden="false" customHeight="false" outlineLevel="0" collapsed="false">
      <c r="A54" s="0" t="s">
        <v>778</v>
      </c>
      <c r="B54" s="0" t="s">
        <v>9</v>
      </c>
      <c r="C54" s="0" t="str">
        <f aca="false">"207-218"</f>
        <v>207-218</v>
      </c>
      <c r="D54" s="0" t="s">
        <v>9</v>
      </c>
      <c r="E54" s="0" t="str">
        <f aca="false">"341-352"</f>
        <v>341-352</v>
      </c>
      <c r="F54" s="0" t="s">
        <v>832</v>
      </c>
      <c r="G54" s="0" t="s">
        <v>9</v>
      </c>
      <c r="H54" s="0" t="str">
        <f aca="false">"91-102"</f>
        <v>91-102</v>
      </c>
      <c r="I54" s="0" t="s">
        <v>9</v>
      </c>
      <c r="J54" s="0" t="str">
        <f aca="false">"131-142"</f>
        <v>131-142</v>
      </c>
      <c r="K54" s="0" t="str">
        <f aca="false">"0.89"</f>
        <v>0.89</v>
      </c>
      <c r="L54" s="0" t="str">
        <f aca="false">"10.60"</f>
        <v>10.60</v>
      </c>
      <c r="M54" s="0" t="str">
        <f aca="false">"18.7"</f>
        <v>18.7</v>
      </c>
    </row>
    <row r="55" customFormat="false" ht="12.8" hidden="false" customHeight="false" outlineLevel="0" collapsed="false">
      <c r="A55" s="0" t="s">
        <v>778</v>
      </c>
      <c r="B55" s="0" t="s">
        <v>9</v>
      </c>
      <c r="C55" s="0" t="str">
        <f aca="false">"204-215"</f>
        <v>204-215</v>
      </c>
      <c r="D55" s="0" t="s">
        <v>9</v>
      </c>
      <c r="E55" s="0" t="str">
        <f aca="false">"338-349"</f>
        <v>338-349</v>
      </c>
      <c r="F55" s="0" t="s">
        <v>833</v>
      </c>
      <c r="G55" s="0" t="s">
        <v>9</v>
      </c>
      <c r="H55" s="0" t="str">
        <f aca="false">"930-941"</f>
        <v>930-941</v>
      </c>
      <c r="I55" s="0" t="s">
        <v>13</v>
      </c>
      <c r="J55" s="0" t="str">
        <f aca="false">"931-942"</f>
        <v>931-942</v>
      </c>
      <c r="K55" s="0" t="str">
        <f aca="false">"0.86"</f>
        <v>0.86</v>
      </c>
      <c r="L55" s="0" t="str">
        <f aca="false">"10.84"</f>
        <v>10.84</v>
      </c>
      <c r="M55" s="0" t="str">
        <f aca="false">"24.6"</f>
        <v>24.6</v>
      </c>
    </row>
    <row r="56" customFormat="false" ht="12.8" hidden="false" customHeight="false" outlineLevel="0" collapsed="false">
      <c r="A56" s="0" t="s">
        <v>778</v>
      </c>
      <c r="B56" s="0" t="s">
        <v>9</v>
      </c>
      <c r="C56" s="0" t="str">
        <f aca="false">"200-211"</f>
        <v>200-211</v>
      </c>
      <c r="D56" s="0" t="s">
        <v>9</v>
      </c>
      <c r="E56" s="0" t="str">
        <f aca="false">"334-345"</f>
        <v>334-345</v>
      </c>
      <c r="F56" s="0" t="s">
        <v>834</v>
      </c>
      <c r="G56" s="0" t="s">
        <v>9</v>
      </c>
      <c r="H56" s="0" t="str">
        <f aca="false">"231-242"</f>
        <v>231-242</v>
      </c>
      <c r="I56" s="0" t="s">
        <v>9</v>
      </c>
      <c r="J56" s="0" t="str">
        <f aca="false">"166-177"</f>
        <v>166-177</v>
      </c>
      <c r="K56" s="0" t="str">
        <f aca="false">"0.99"</f>
        <v>0.99</v>
      </c>
      <c r="L56" s="0" t="str">
        <f aca="false">"10.86"</f>
        <v>10.86</v>
      </c>
      <c r="M56" s="0" t="str">
        <f aca="false">"25.1"</f>
        <v>25.1</v>
      </c>
    </row>
    <row r="57" customFormat="false" ht="12.8" hidden="false" customHeight="false" outlineLevel="0" collapsed="false">
      <c r="A57" s="0" t="s">
        <v>778</v>
      </c>
      <c r="B57" s="0" t="s">
        <v>9</v>
      </c>
      <c r="C57" s="0" t="str">
        <f aca="false">"200-211"</f>
        <v>200-211</v>
      </c>
      <c r="D57" s="0" t="s">
        <v>9</v>
      </c>
      <c r="E57" s="0" t="str">
        <f aca="false">"334-345"</f>
        <v>334-345</v>
      </c>
      <c r="F57" s="0" t="s">
        <v>835</v>
      </c>
      <c r="G57" s="0" t="s">
        <v>13</v>
      </c>
      <c r="H57" s="0" t="str">
        <f aca="false">"214-225"</f>
        <v>214-225</v>
      </c>
      <c r="I57" s="0" t="s">
        <v>13</v>
      </c>
      <c r="J57" s="0" t="str">
        <f aca="false">"28-39"</f>
        <v>28-39</v>
      </c>
      <c r="K57" s="0" t="str">
        <f aca="false">"1.06"</f>
        <v>1.06</v>
      </c>
      <c r="L57" s="0" t="str">
        <f aca="false">"10.52"</f>
        <v>10.52</v>
      </c>
      <c r="M57" s="0" t="str">
        <f aca="false">"8.5"</f>
        <v>8.5</v>
      </c>
    </row>
    <row r="58" customFormat="false" ht="12.8" hidden="false" customHeight="false" outlineLevel="0" collapsed="false">
      <c r="A58" s="0" t="s">
        <v>778</v>
      </c>
      <c r="B58" s="0" t="s">
        <v>9</v>
      </c>
      <c r="C58" s="0" t="str">
        <f aca="false">"200-211"</f>
        <v>200-211</v>
      </c>
      <c r="D58" s="0" t="s">
        <v>9</v>
      </c>
      <c r="E58" s="0" t="str">
        <f aca="false">"334-345"</f>
        <v>334-345</v>
      </c>
      <c r="F58" s="0" t="s">
        <v>836</v>
      </c>
      <c r="G58" s="0" t="s">
        <v>9</v>
      </c>
      <c r="H58" s="0" t="str">
        <f aca="false">"325-336"</f>
        <v>325-336</v>
      </c>
      <c r="I58" s="0" t="s">
        <v>9</v>
      </c>
      <c r="J58" s="0" t="str">
        <f aca="false">"290-301"</f>
        <v>290-301</v>
      </c>
      <c r="K58" s="0" t="str">
        <f aca="false">"0.69"</f>
        <v>0.69</v>
      </c>
      <c r="L58" s="0" t="str">
        <f aca="false">"10.75"</f>
        <v>10.75</v>
      </c>
      <c r="M58" s="0" t="str">
        <f aca="false">"25.1"</f>
        <v>25.1</v>
      </c>
    </row>
    <row r="59" customFormat="false" ht="12.8" hidden="false" customHeight="false" outlineLevel="0" collapsed="false">
      <c r="A59" s="0" t="s">
        <v>778</v>
      </c>
      <c r="B59" s="0" t="s">
        <v>9</v>
      </c>
      <c r="C59" s="0" t="str">
        <f aca="false">"207-218"</f>
        <v>207-218</v>
      </c>
      <c r="D59" s="0" t="s">
        <v>9</v>
      </c>
      <c r="E59" s="0" t="str">
        <f aca="false">"341-352"</f>
        <v>341-352</v>
      </c>
      <c r="F59" s="0" t="s">
        <v>837</v>
      </c>
      <c r="G59" s="0" t="s">
        <v>9</v>
      </c>
      <c r="H59" s="0" t="str">
        <f aca="false">"76-87"</f>
        <v>76-87</v>
      </c>
      <c r="I59" s="0" t="s">
        <v>9</v>
      </c>
      <c r="J59" s="0" t="str">
        <f aca="false">"192-203"</f>
        <v>192-203</v>
      </c>
      <c r="K59" s="0" t="str">
        <f aca="false">"0.69"</f>
        <v>0.69</v>
      </c>
      <c r="L59" s="0" t="str">
        <f aca="false">"10.28"</f>
        <v>10.28</v>
      </c>
      <c r="M59" s="0" t="str">
        <f aca="false">"25.5"</f>
        <v>25.5</v>
      </c>
    </row>
    <row r="60" customFormat="false" ht="12.8" hidden="false" customHeight="false" outlineLevel="0" collapsed="false">
      <c r="A60" s="0" t="s">
        <v>778</v>
      </c>
      <c r="B60" s="0" t="s">
        <v>9</v>
      </c>
      <c r="C60" s="0" t="str">
        <f aca="false">"204-215"</f>
        <v>204-215</v>
      </c>
      <c r="D60" s="0" t="s">
        <v>9</v>
      </c>
      <c r="E60" s="0" t="str">
        <f aca="false">"337-348"</f>
        <v>337-348</v>
      </c>
      <c r="F60" s="0" t="s">
        <v>838</v>
      </c>
      <c r="G60" s="0" t="s">
        <v>13</v>
      </c>
      <c r="H60" s="0" t="str">
        <f aca="false">"100-111"</f>
        <v>100-111</v>
      </c>
      <c r="I60" s="0" t="s">
        <v>9</v>
      </c>
      <c r="J60" s="0" t="str">
        <f aca="false">"65-76"</f>
        <v>65-76</v>
      </c>
      <c r="K60" s="0" t="str">
        <f aca="false">"0.91"</f>
        <v>0.91</v>
      </c>
      <c r="L60" s="0" t="str">
        <f aca="false">"10.92"</f>
        <v>10.92</v>
      </c>
      <c r="M60" s="0" t="str">
        <f aca="false">"20.5"</f>
        <v>20.5</v>
      </c>
    </row>
    <row r="61" customFormat="false" ht="12.8" hidden="false" customHeight="false" outlineLevel="0" collapsed="false">
      <c r="A61" s="0" t="s">
        <v>778</v>
      </c>
      <c r="B61" s="0" t="s">
        <v>9</v>
      </c>
      <c r="C61" s="0" t="str">
        <f aca="false">"200-211"</f>
        <v>200-211</v>
      </c>
      <c r="D61" s="0" t="s">
        <v>9</v>
      </c>
      <c r="E61" s="0" t="str">
        <f aca="false">"334-345"</f>
        <v>334-345</v>
      </c>
      <c r="F61" s="0" t="s">
        <v>839</v>
      </c>
      <c r="G61" s="0" t="s">
        <v>13</v>
      </c>
      <c r="H61" s="0" t="str">
        <f aca="false">"196-207"</f>
        <v>196-207</v>
      </c>
      <c r="I61" s="0" t="s">
        <v>9</v>
      </c>
      <c r="J61" s="0" t="str">
        <f aca="false">"37-48"</f>
        <v>37-48</v>
      </c>
      <c r="K61" s="0" t="str">
        <f aca="false">"0.58"</f>
        <v>0.58</v>
      </c>
      <c r="L61" s="0" t="str">
        <f aca="false">"9.89"</f>
        <v>9.89</v>
      </c>
      <c r="M61" s="0" t="str">
        <f aca="false">"20.5"</f>
        <v>20.5</v>
      </c>
    </row>
    <row r="62" customFormat="false" ht="12.8" hidden="false" customHeight="false" outlineLevel="0" collapsed="false">
      <c r="A62" s="0" t="s">
        <v>778</v>
      </c>
      <c r="B62" s="0" t="s">
        <v>9</v>
      </c>
      <c r="C62" s="0" t="str">
        <f aca="false">"200-211"</f>
        <v>200-211</v>
      </c>
      <c r="D62" s="0" t="s">
        <v>9</v>
      </c>
      <c r="E62" s="0" t="str">
        <f aca="false">"334-345"</f>
        <v>334-345</v>
      </c>
      <c r="F62" s="0" t="s">
        <v>840</v>
      </c>
      <c r="G62" s="0" t="s">
        <v>13</v>
      </c>
      <c r="H62" s="0" t="str">
        <f aca="false">"137-148"</f>
        <v>137-148</v>
      </c>
      <c r="I62" s="0" t="s">
        <v>13</v>
      </c>
      <c r="J62" s="0" t="str">
        <f aca="false">"164-175"</f>
        <v>164-175</v>
      </c>
      <c r="K62" s="0" t="str">
        <f aca="false">"0.91"</f>
        <v>0.91</v>
      </c>
      <c r="L62" s="0" t="str">
        <f aca="false">"10.26"</f>
        <v>10.26</v>
      </c>
      <c r="M62" s="0" t="str">
        <f aca="false">"19.3"</f>
        <v>19.3</v>
      </c>
    </row>
    <row r="63" customFormat="false" ht="12.8" hidden="false" customHeight="false" outlineLevel="0" collapsed="false">
      <c r="A63" s="0" t="s">
        <v>778</v>
      </c>
      <c r="B63" s="0" t="s">
        <v>9</v>
      </c>
      <c r="C63" s="0" t="str">
        <f aca="false">"201-212"</f>
        <v>201-212</v>
      </c>
      <c r="D63" s="0" t="s">
        <v>9</v>
      </c>
      <c r="E63" s="0" t="str">
        <f aca="false">"334-345"</f>
        <v>334-345</v>
      </c>
      <c r="F63" s="0" t="s">
        <v>841</v>
      </c>
      <c r="G63" s="0" t="s">
        <v>9</v>
      </c>
      <c r="H63" s="0" t="str">
        <f aca="false">"4-15"</f>
        <v>4-15</v>
      </c>
      <c r="I63" s="0" t="s">
        <v>9</v>
      </c>
      <c r="J63" s="0" t="str">
        <f aca="false">"53-64"</f>
        <v>53-64</v>
      </c>
      <c r="K63" s="0" t="str">
        <f aca="false">"0.89"</f>
        <v>0.89</v>
      </c>
      <c r="L63" s="0" t="str">
        <f aca="false">"9.90"</f>
        <v>9.90</v>
      </c>
      <c r="M63" s="0" t="str">
        <f aca="false">"23.5"</f>
        <v>23.5</v>
      </c>
    </row>
    <row r="64" customFormat="false" ht="12.8" hidden="false" customHeight="false" outlineLevel="0" collapsed="false">
      <c r="A64" s="0" t="s">
        <v>778</v>
      </c>
      <c r="B64" s="0" t="s">
        <v>9</v>
      </c>
      <c r="C64" s="0" t="str">
        <f aca="false">"200-211"</f>
        <v>200-211</v>
      </c>
      <c r="D64" s="0" t="s">
        <v>9</v>
      </c>
      <c r="E64" s="0" t="str">
        <f aca="false">"334-345"</f>
        <v>334-345</v>
      </c>
      <c r="F64" s="0" t="s">
        <v>842</v>
      </c>
      <c r="G64" s="0" t="s">
        <v>9</v>
      </c>
      <c r="H64" s="0" t="str">
        <f aca="false">"19-30"</f>
        <v>19-30</v>
      </c>
      <c r="I64" s="0" t="s">
        <v>9</v>
      </c>
      <c r="J64" s="0" t="str">
        <f aca="false">"90-101"</f>
        <v>90-101</v>
      </c>
      <c r="K64" s="0" t="str">
        <f aca="false">"0.66"</f>
        <v>0.66</v>
      </c>
      <c r="L64" s="0" t="str">
        <f aca="false">"9.74"</f>
        <v>9.74</v>
      </c>
      <c r="M64" s="0" t="str">
        <f aca="false">"17.9"</f>
        <v>17.9</v>
      </c>
    </row>
    <row r="65" customFormat="false" ht="12.8" hidden="false" customHeight="false" outlineLevel="0" collapsed="false">
      <c r="A65" s="0" t="s">
        <v>778</v>
      </c>
      <c r="B65" s="0" t="s">
        <v>9</v>
      </c>
      <c r="C65" s="0" t="str">
        <f aca="false">"200-211"</f>
        <v>200-211</v>
      </c>
      <c r="D65" s="0" t="s">
        <v>9</v>
      </c>
      <c r="E65" s="0" t="str">
        <f aca="false">"334-345"</f>
        <v>334-345</v>
      </c>
      <c r="F65" s="0" t="s">
        <v>843</v>
      </c>
      <c r="G65" s="0" t="s">
        <v>13</v>
      </c>
      <c r="H65" s="0" t="str">
        <f aca="false">"46-57"</f>
        <v>46-57</v>
      </c>
      <c r="I65" s="0" t="s">
        <v>9</v>
      </c>
      <c r="J65" s="0" t="str">
        <f aca="false">"46-57"</f>
        <v>46-57</v>
      </c>
      <c r="K65" s="0" t="str">
        <f aca="false">"0.73"</f>
        <v>0.73</v>
      </c>
      <c r="L65" s="0" t="str">
        <f aca="false">"9.82"</f>
        <v>9.82</v>
      </c>
      <c r="M65" s="0" t="str">
        <f aca="false">"18.4"</f>
        <v>18.4</v>
      </c>
    </row>
    <row r="66" customFormat="false" ht="12.8" hidden="false" customHeight="false" outlineLevel="0" collapsed="false">
      <c r="A66" s="0" t="s">
        <v>778</v>
      </c>
      <c r="B66" s="0" t="s">
        <v>9</v>
      </c>
      <c r="C66" s="0" t="str">
        <f aca="false">"208-219"</f>
        <v>208-219</v>
      </c>
      <c r="D66" s="0" t="s">
        <v>9</v>
      </c>
      <c r="E66" s="0" t="str">
        <f aca="false">"341-352"</f>
        <v>341-352</v>
      </c>
      <c r="F66" s="0" t="s">
        <v>844</v>
      </c>
      <c r="G66" s="0" t="s">
        <v>9</v>
      </c>
      <c r="H66" s="0" t="str">
        <f aca="false">"51-62"</f>
        <v>51-62</v>
      </c>
      <c r="I66" s="0" t="s">
        <v>120</v>
      </c>
      <c r="J66" s="0" t="str">
        <f aca="false">"22-33"</f>
        <v>22-33</v>
      </c>
      <c r="K66" s="0" t="str">
        <f aca="false">"0.83"</f>
        <v>0.83</v>
      </c>
      <c r="L66" s="0" t="str">
        <f aca="false">"10.88"</f>
        <v>10.88</v>
      </c>
      <c r="M66" s="0" t="str">
        <f aca="false">"15.5"</f>
        <v>15.5</v>
      </c>
    </row>
    <row r="67" customFormat="false" ht="12.8" hidden="false" customHeight="false" outlineLevel="0" collapsed="false">
      <c r="A67" s="0" t="s">
        <v>778</v>
      </c>
      <c r="B67" s="0" t="s">
        <v>9</v>
      </c>
      <c r="C67" s="0" t="str">
        <f aca="false">"207-218"</f>
        <v>207-218</v>
      </c>
      <c r="D67" s="0" t="s">
        <v>9</v>
      </c>
      <c r="E67" s="0" t="str">
        <f aca="false">"341-352"</f>
        <v>341-352</v>
      </c>
      <c r="F67" s="0" t="s">
        <v>845</v>
      </c>
      <c r="G67" s="0" t="s">
        <v>9</v>
      </c>
      <c r="H67" s="0" t="str">
        <f aca="false">"121-132"</f>
        <v>121-132</v>
      </c>
      <c r="I67" s="0" t="s">
        <v>9</v>
      </c>
      <c r="J67" s="0" t="str">
        <f aca="false">"69-80"</f>
        <v>69-80</v>
      </c>
      <c r="K67" s="0" t="str">
        <f aca="false">"0.64"</f>
        <v>0.64</v>
      </c>
      <c r="L67" s="0" t="str">
        <f aca="false">"10.06"</f>
        <v>10.06</v>
      </c>
      <c r="M67" s="0" t="str">
        <f aca="false">"19.3"</f>
        <v>19.3</v>
      </c>
    </row>
    <row r="68" customFormat="false" ht="12.8" hidden="false" customHeight="false" outlineLevel="0" collapsed="false">
      <c r="A68" s="0" t="s">
        <v>778</v>
      </c>
      <c r="B68" s="0" t="s">
        <v>9</v>
      </c>
      <c r="C68" s="0" t="str">
        <f aca="false">"207-218"</f>
        <v>207-218</v>
      </c>
      <c r="D68" s="0" t="s">
        <v>9</v>
      </c>
      <c r="E68" s="0" t="str">
        <f aca="false">"341-352"</f>
        <v>341-352</v>
      </c>
      <c r="F68" s="0" t="s">
        <v>846</v>
      </c>
      <c r="G68" s="0" t="s">
        <v>9</v>
      </c>
      <c r="H68" s="0" t="str">
        <f aca="false">"364-375"</f>
        <v>364-375</v>
      </c>
      <c r="I68" s="0" t="s">
        <v>9</v>
      </c>
      <c r="J68" s="0" t="str">
        <f aca="false">"275-286"</f>
        <v>275-286</v>
      </c>
      <c r="K68" s="0" t="str">
        <f aca="false">"0.76"</f>
        <v>0.76</v>
      </c>
      <c r="L68" s="0" t="str">
        <f aca="false">"10.47"</f>
        <v>10.47</v>
      </c>
      <c r="M68" s="0" t="str">
        <f aca="false">"28.9"</f>
        <v>28.9</v>
      </c>
    </row>
    <row r="69" customFormat="false" ht="12.8" hidden="false" customHeight="false" outlineLevel="0" collapsed="false">
      <c r="A69" s="0" t="s">
        <v>778</v>
      </c>
      <c r="B69" s="0" t="s">
        <v>9</v>
      </c>
      <c r="C69" s="0" t="str">
        <f aca="false">"204-215"</f>
        <v>204-215</v>
      </c>
      <c r="D69" s="0" t="s">
        <v>9</v>
      </c>
      <c r="E69" s="0" t="str">
        <f aca="false">"338-349"</f>
        <v>338-349</v>
      </c>
      <c r="F69" s="0" t="s">
        <v>847</v>
      </c>
      <c r="G69" s="0" t="s">
        <v>9</v>
      </c>
      <c r="H69" s="0" t="str">
        <f aca="false">"71-82"</f>
        <v>71-82</v>
      </c>
      <c r="I69" s="0" t="s">
        <v>9</v>
      </c>
      <c r="J69" s="0" t="str">
        <f aca="false">"135-146"</f>
        <v>135-146</v>
      </c>
      <c r="K69" s="0" t="str">
        <f aca="false">"0.83"</f>
        <v>0.83</v>
      </c>
      <c r="L69" s="0" t="str">
        <f aca="false">"10.61"</f>
        <v>10.61</v>
      </c>
      <c r="M69" s="0" t="str">
        <f aca="false">"24.8"</f>
        <v>24.8</v>
      </c>
    </row>
    <row r="70" customFormat="false" ht="12.8" hidden="false" customHeight="false" outlineLevel="0" collapsed="false">
      <c r="A70" s="0" t="s">
        <v>778</v>
      </c>
      <c r="B70" s="0" t="s">
        <v>9</v>
      </c>
      <c r="C70" s="0" t="str">
        <f aca="false">"203-214"</f>
        <v>203-214</v>
      </c>
      <c r="D70" s="0" t="s">
        <v>9</v>
      </c>
      <c r="E70" s="0" t="str">
        <f aca="false">"334-345"</f>
        <v>334-345</v>
      </c>
      <c r="F70" s="0" t="s">
        <v>848</v>
      </c>
      <c r="G70" s="0" t="s">
        <v>13</v>
      </c>
      <c r="H70" s="0" t="str">
        <f aca="false">"161-172"</f>
        <v>161-172</v>
      </c>
      <c r="I70" s="0" t="s">
        <v>13</v>
      </c>
      <c r="J70" s="0" t="str">
        <f aca="false">"91-102"</f>
        <v>91-102</v>
      </c>
      <c r="K70" s="0" t="str">
        <f aca="false">"0.67"</f>
        <v>0.67</v>
      </c>
      <c r="L70" s="0" t="str">
        <f aca="false">"10.06"</f>
        <v>10.06</v>
      </c>
      <c r="M70" s="0" t="str">
        <f aca="false">"25.9"</f>
        <v>25.9</v>
      </c>
    </row>
    <row r="71" customFormat="false" ht="12.8" hidden="false" customHeight="false" outlineLevel="0" collapsed="false">
      <c r="A71" s="0" t="s">
        <v>778</v>
      </c>
      <c r="B71" s="0" t="s">
        <v>9</v>
      </c>
      <c r="C71" s="0" t="str">
        <f aca="false">"200-211"</f>
        <v>200-211</v>
      </c>
      <c r="D71" s="0" t="s">
        <v>9</v>
      </c>
      <c r="E71" s="0" t="str">
        <f aca="false">"334-345"</f>
        <v>334-345</v>
      </c>
      <c r="F71" s="0" t="s">
        <v>849</v>
      </c>
      <c r="G71" s="0" t="s">
        <v>13</v>
      </c>
      <c r="H71" s="0" t="str">
        <f aca="false">"116-127"</f>
        <v>116-127</v>
      </c>
      <c r="I71" s="0" t="s">
        <v>13</v>
      </c>
      <c r="J71" s="0" t="str">
        <f aca="false">"166-177"</f>
        <v>166-177</v>
      </c>
      <c r="K71" s="0" t="str">
        <f aca="false">"1.11"</f>
        <v>1.11</v>
      </c>
      <c r="L71" s="0" t="str">
        <f aca="false">"10.36"</f>
        <v>10.36</v>
      </c>
      <c r="M71" s="0" t="str">
        <f aca="false">"21.7"</f>
        <v>21.7</v>
      </c>
    </row>
    <row r="72" customFormat="false" ht="12.8" hidden="false" customHeight="false" outlineLevel="0" collapsed="false">
      <c r="A72" s="0" t="s">
        <v>778</v>
      </c>
      <c r="B72" s="0" t="s">
        <v>9</v>
      </c>
      <c r="C72" s="0" t="str">
        <f aca="false">"204-215"</f>
        <v>204-215</v>
      </c>
      <c r="D72" s="0" t="s">
        <v>9</v>
      </c>
      <c r="E72" s="0" t="str">
        <f aca="false">"338-349"</f>
        <v>338-349</v>
      </c>
      <c r="F72" s="0" t="s">
        <v>850</v>
      </c>
      <c r="G72" s="0" t="s">
        <v>13</v>
      </c>
      <c r="H72" s="0" t="str">
        <f aca="false">"55-66"</f>
        <v>55-66</v>
      </c>
      <c r="I72" s="0" t="s">
        <v>120</v>
      </c>
      <c r="J72" s="0" t="str">
        <f aca="false">"54-65"</f>
        <v>54-65</v>
      </c>
      <c r="K72" s="0" t="str">
        <f aca="false">"0.55"</f>
        <v>0.55</v>
      </c>
      <c r="L72" s="0" t="str">
        <f aca="false">"9.38"</f>
        <v>9.38</v>
      </c>
      <c r="M72" s="0" t="str">
        <f aca="false">"20.8"</f>
        <v>20.8</v>
      </c>
    </row>
    <row r="73" customFormat="false" ht="12.8" hidden="false" customHeight="false" outlineLevel="0" collapsed="false">
      <c r="A73" s="0" t="s">
        <v>778</v>
      </c>
      <c r="B73" s="0" t="s">
        <v>9</v>
      </c>
      <c r="C73" s="0" t="str">
        <f aca="false">"200-211"</f>
        <v>200-211</v>
      </c>
      <c r="D73" s="0" t="s">
        <v>9</v>
      </c>
      <c r="E73" s="0" t="str">
        <f aca="false">"334-345"</f>
        <v>334-345</v>
      </c>
      <c r="F73" s="0" t="s">
        <v>851</v>
      </c>
      <c r="G73" s="0" t="s">
        <v>13</v>
      </c>
      <c r="H73" s="0" t="str">
        <f aca="false">"985-996"</f>
        <v>985-996</v>
      </c>
      <c r="I73" s="0" t="s">
        <v>9</v>
      </c>
      <c r="J73" s="0" t="str">
        <f aca="false">"985-996"</f>
        <v>985-996</v>
      </c>
      <c r="K73" s="0" t="str">
        <f aca="false">"0.72"</f>
        <v>0.72</v>
      </c>
      <c r="L73" s="0" t="str">
        <f aca="false">"9.37"</f>
        <v>9.37</v>
      </c>
      <c r="M73" s="0" t="str">
        <f aca="false">"22.5"</f>
        <v>22.5</v>
      </c>
    </row>
    <row r="74" customFormat="false" ht="12.8" hidden="false" customHeight="false" outlineLevel="0" collapsed="false">
      <c r="A74" s="0" t="s">
        <v>778</v>
      </c>
      <c r="B74" s="0" t="s">
        <v>9</v>
      </c>
      <c r="C74" s="0" t="str">
        <f aca="false">"204-215"</f>
        <v>204-215</v>
      </c>
      <c r="D74" s="0" t="s">
        <v>9</v>
      </c>
      <c r="E74" s="0" t="str">
        <f aca="false">"334-345"</f>
        <v>334-345</v>
      </c>
      <c r="F74" s="0" t="s">
        <v>852</v>
      </c>
      <c r="G74" s="0" t="s">
        <v>9</v>
      </c>
      <c r="H74" s="0" t="str">
        <f aca="false">"463-474"</f>
        <v>463-474</v>
      </c>
      <c r="I74" s="0" t="s">
        <v>9</v>
      </c>
      <c r="J74" s="0" t="str">
        <f aca="false">"525-536"</f>
        <v>525-536</v>
      </c>
      <c r="K74" s="0" t="str">
        <f aca="false">"1.24"</f>
        <v>1.24</v>
      </c>
      <c r="L74" s="0" t="str">
        <f aca="false">"10.70"</f>
        <v>10.70</v>
      </c>
      <c r="M74" s="0" t="str">
        <f aca="false">"16.6"</f>
        <v>16.6</v>
      </c>
    </row>
    <row r="75" customFormat="false" ht="12.8" hidden="false" customHeight="false" outlineLevel="0" collapsed="false">
      <c r="A75" s="0" t="s">
        <v>778</v>
      </c>
      <c r="B75" s="0" t="s">
        <v>9</v>
      </c>
      <c r="C75" s="0" t="str">
        <f aca="false">"204-215"</f>
        <v>204-215</v>
      </c>
      <c r="D75" s="0" t="s">
        <v>9</v>
      </c>
      <c r="E75" s="0" t="str">
        <f aca="false">"337-348"</f>
        <v>337-348</v>
      </c>
      <c r="F75" s="0" t="s">
        <v>853</v>
      </c>
      <c r="G75" s="0" t="s">
        <v>9</v>
      </c>
      <c r="H75" s="0" t="str">
        <f aca="false">"213-224"</f>
        <v>213-224</v>
      </c>
      <c r="I75" s="0" t="s">
        <v>9</v>
      </c>
      <c r="J75" s="0" t="str">
        <f aca="false">"170-181"</f>
        <v>170-181</v>
      </c>
      <c r="K75" s="0" t="str">
        <f aca="false">"0.77"</f>
        <v>0.77</v>
      </c>
      <c r="L75" s="0" t="str">
        <f aca="false">"9.55"</f>
        <v>9.55</v>
      </c>
      <c r="M75" s="0" t="str">
        <f aca="false">"20.2"</f>
        <v>20.2</v>
      </c>
    </row>
    <row r="76" customFormat="false" ht="12.8" hidden="false" customHeight="false" outlineLevel="0" collapsed="false">
      <c r="A76" s="0" t="s">
        <v>778</v>
      </c>
      <c r="B76" s="0" t="s">
        <v>9</v>
      </c>
      <c r="C76" s="0" t="str">
        <f aca="false">"208-219"</f>
        <v>208-219</v>
      </c>
      <c r="D76" s="0" t="s">
        <v>9</v>
      </c>
      <c r="E76" s="0" t="str">
        <f aca="false">"341-352"</f>
        <v>341-352</v>
      </c>
      <c r="F76" s="0" t="s">
        <v>854</v>
      </c>
      <c r="G76" s="0" t="s">
        <v>70</v>
      </c>
      <c r="H76" s="0" t="str">
        <f aca="false">"22-33"</f>
        <v>22-33</v>
      </c>
      <c r="I76" s="0" t="s">
        <v>71</v>
      </c>
      <c r="J76" s="0" t="str">
        <f aca="false">"86-97"</f>
        <v>86-97</v>
      </c>
      <c r="K76" s="0" t="str">
        <f aca="false">"1.12"</f>
        <v>1.12</v>
      </c>
      <c r="L76" s="0" t="str">
        <f aca="false">"10.84"</f>
        <v>10.84</v>
      </c>
      <c r="M76" s="0" t="str">
        <f aca="false">"16.6"</f>
        <v>16.6</v>
      </c>
    </row>
    <row r="77" customFormat="false" ht="12.8" hidden="false" customHeight="false" outlineLevel="0" collapsed="false">
      <c r="A77" s="0" t="s">
        <v>778</v>
      </c>
      <c r="B77" s="0" t="s">
        <v>9</v>
      </c>
      <c r="C77" s="0" t="str">
        <f aca="false">"200-211"</f>
        <v>200-211</v>
      </c>
      <c r="D77" s="0" t="s">
        <v>9</v>
      </c>
      <c r="E77" s="0" t="str">
        <f aca="false">"333-344"</f>
        <v>333-344</v>
      </c>
      <c r="F77" s="0" t="s">
        <v>855</v>
      </c>
      <c r="G77" s="0" t="s">
        <v>13</v>
      </c>
      <c r="H77" s="0" t="str">
        <f aca="false">"97-108"</f>
        <v>97-108</v>
      </c>
      <c r="I77" s="0" t="s">
        <v>13</v>
      </c>
      <c r="J77" s="0" t="str">
        <f aca="false">"153-164"</f>
        <v>153-164</v>
      </c>
      <c r="K77" s="0" t="str">
        <f aca="false">"0.89"</f>
        <v>0.89</v>
      </c>
      <c r="L77" s="0" t="str">
        <f aca="false">"9.77"</f>
        <v>9.77</v>
      </c>
      <c r="M77" s="0" t="str">
        <f aca="false">"14.0"</f>
        <v>14.0</v>
      </c>
    </row>
    <row r="78" customFormat="false" ht="12.8" hidden="false" customHeight="false" outlineLevel="0" collapsed="false">
      <c r="A78" s="0" t="s">
        <v>778</v>
      </c>
      <c r="B78" s="0" t="s">
        <v>9</v>
      </c>
      <c r="C78" s="0" t="str">
        <f aca="false">"204-215"</f>
        <v>204-215</v>
      </c>
      <c r="D78" s="0" t="s">
        <v>9</v>
      </c>
      <c r="E78" s="0" t="str">
        <f aca="false">"337-348"</f>
        <v>337-348</v>
      </c>
      <c r="F78" s="0" t="s">
        <v>856</v>
      </c>
      <c r="G78" s="0" t="s">
        <v>13</v>
      </c>
      <c r="H78" s="0" t="str">
        <f aca="false">"498-509"</f>
        <v>498-509</v>
      </c>
      <c r="I78" s="0" t="s">
        <v>13</v>
      </c>
      <c r="J78" s="0" t="str">
        <f aca="false">"444-455"</f>
        <v>444-455</v>
      </c>
      <c r="K78" s="0" t="str">
        <f aca="false">"0.83"</f>
        <v>0.83</v>
      </c>
      <c r="L78" s="0" t="str">
        <f aca="false">"10.63"</f>
        <v>10.63</v>
      </c>
      <c r="M78" s="0" t="str">
        <f aca="false">"22.4"</f>
        <v>22.4</v>
      </c>
    </row>
    <row r="79" customFormat="false" ht="12.8" hidden="false" customHeight="false" outlineLevel="0" collapsed="false">
      <c r="A79" s="0" t="s">
        <v>778</v>
      </c>
      <c r="B79" s="0" t="s">
        <v>9</v>
      </c>
      <c r="C79" s="0" t="str">
        <f aca="false">"200-211"</f>
        <v>200-211</v>
      </c>
      <c r="D79" s="0" t="s">
        <v>9</v>
      </c>
      <c r="E79" s="0" t="str">
        <f aca="false">"334-345"</f>
        <v>334-345</v>
      </c>
      <c r="F79" s="0" t="s">
        <v>857</v>
      </c>
      <c r="G79" s="0" t="s">
        <v>9</v>
      </c>
      <c r="H79" s="0" t="str">
        <f aca="false">"212-223"</f>
        <v>212-223</v>
      </c>
      <c r="I79" s="0" t="s">
        <v>9</v>
      </c>
      <c r="J79" s="0" t="str">
        <f aca="false">"283-294"</f>
        <v>283-294</v>
      </c>
      <c r="K79" s="0" t="str">
        <f aca="false">"1.11"</f>
        <v>1.11</v>
      </c>
      <c r="L79" s="0" t="str">
        <f aca="false">"9.89"</f>
        <v>9.89</v>
      </c>
      <c r="M79" s="0" t="str">
        <f aca="false">"38.6"</f>
        <v>38.6</v>
      </c>
    </row>
    <row r="80" customFormat="false" ht="12.8" hidden="false" customHeight="false" outlineLevel="0" collapsed="false">
      <c r="A80" s="0" t="s">
        <v>778</v>
      </c>
      <c r="B80" s="0" t="s">
        <v>9</v>
      </c>
      <c r="C80" s="0" t="str">
        <f aca="false">"206-217"</f>
        <v>206-217</v>
      </c>
      <c r="D80" s="0" t="s">
        <v>9</v>
      </c>
      <c r="E80" s="0" t="str">
        <f aca="false">"338-349"</f>
        <v>338-349</v>
      </c>
      <c r="F80" s="0" t="s">
        <v>858</v>
      </c>
      <c r="G80" s="0" t="s">
        <v>9</v>
      </c>
      <c r="H80" s="0" t="str">
        <f aca="false">"93-104"</f>
        <v>93-104</v>
      </c>
      <c r="I80" s="0" t="s">
        <v>9</v>
      </c>
      <c r="J80" s="0" t="str">
        <f aca="false">"5-16"</f>
        <v>5-16</v>
      </c>
      <c r="K80" s="0" t="str">
        <f aca="false">"0.93"</f>
        <v>0.93</v>
      </c>
      <c r="L80" s="0" t="str">
        <f aca="false">"9.68"</f>
        <v>9.68</v>
      </c>
      <c r="M80" s="0" t="str">
        <f aca="false">"25.8"</f>
        <v>25.8</v>
      </c>
    </row>
    <row r="81" customFormat="false" ht="12.8" hidden="false" customHeight="false" outlineLevel="0" collapsed="false">
      <c r="A81" s="0" t="s">
        <v>778</v>
      </c>
      <c r="B81" s="0" t="s">
        <v>9</v>
      </c>
      <c r="C81" s="0" t="str">
        <f aca="false">"200-211"</f>
        <v>200-211</v>
      </c>
      <c r="D81" s="0" t="s">
        <v>9</v>
      </c>
      <c r="E81" s="0" t="str">
        <f aca="false">"334-345"</f>
        <v>334-345</v>
      </c>
      <c r="F81" s="0" t="s">
        <v>859</v>
      </c>
      <c r="G81" s="0" t="s">
        <v>13</v>
      </c>
      <c r="H81" s="0" t="str">
        <f aca="false">"252-263"</f>
        <v>252-263</v>
      </c>
      <c r="I81" s="0" t="s">
        <v>13</v>
      </c>
      <c r="J81" s="0" t="str">
        <f aca="false">"213-224"</f>
        <v>213-224</v>
      </c>
      <c r="K81" s="0" t="str">
        <f aca="false">"1.03"</f>
        <v>1.03</v>
      </c>
      <c r="L81" s="0" t="str">
        <f aca="false">"9.55"</f>
        <v>9.55</v>
      </c>
      <c r="M81" s="0" t="str">
        <f aca="false">"20.5"</f>
        <v>20.5</v>
      </c>
    </row>
    <row r="82" customFormat="false" ht="12.8" hidden="false" customHeight="false" outlineLevel="0" collapsed="false">
      <c r="A82" s="0" t="s">
        <v>778</v>
      </c>
      <c r="B82" s="0" t="s">
        <v>9</v>
      </c>
      <c r="C82" s="0" t="str">
        <f aca="false">"200-211"</f>
        <v>200-211</v>
      </c>
      <c r="D82" s="0" t="s">
        <v>9</v>
      </c>
      <c r="E82" s="0" t="str">
        <f aca="false">"334-345"</f>
        <v>334-345</v>
      </c>
      <c r="F82" s="0" t="s">
        <v>860</v>
      </c>
      <c r="G82" s="0" t="s">
        <v>9</v>
      </c>
      <c r="H82" s="0" t="str">
        <f aca="false">"185-196"</f>
        <v>185-196</v>
      </c>
      <c r="I82" s="0" t="s">
        <v>9</v>
      </c>
      <c r="J82" s="0" t="str">
        <f aca="false">"233-244"</f>
        <v>233-244</v>
      </c>
      <c r="K82" s="0" t="str">
        <f aca="false">"1.09"</f>
        <v>1.09</v>
      </c>
      <c r="L82" s="0" t="str">
        <f aca="false">"10.25"</f>
        <v>10.25</v>
      </c>
      <c r="M82" s="0" t="str">
        <f aca="false">"20.4"</f>
        <v>20.4</v>
      </c>
    </row>
    <row r="83" customFormat="false" ht="12.8" hidden="false" customHeight="false" outlineLevel="0" collapsed="false">
      <c r="A83" s="0" t="s">
        <v>778</v>
      </c>
      <c r="B83" s="0" t="s">
        <v>9</v>
      </c>
      <c r="C83" s="0" t="str">
        <f aca="false">"200-211"</f>
        <v>200-211</v>
      </c>
      <c r="D83" s="0" t="s">
        <v>9</v>
      </c>
      <c r="E83" s="0" t="str">
        <f aca="false">"334-345"</f>
        <v>334-345</v>
      </c>
      <c r="F83" s="0" t="s">
        <v>861</v>
      </c>
      <c r="G83" s="0" t="s">
        <v>9</v>
      </c>
      <c r="H83" s="0" t="str">
        <f aca="false">"193-204"</f>
        <v>193-204</v>
      </c>
      <c r="I83" s="0" t="s">
        <v>9</v>
      </c>
      <c r="J83" s="0" t="str">
        <f aca="false">"140-151"</f>
        <v>140-151</v>
      </c>
      <c r="K83" s="0" t="str">
        <f aca="false">"0.90"</f>
        <v>0.90</v>
      </c>
      <c r="L83" s="0" t="str">
        <f aca="false">"9.70"</f>
        <v>9.70</v>
      </c>
      <c r="M83" s="0" t="str">
        <f aca="false">"12.9"</f>
        <v>12.9</v>
      </c>
    </row>
    <row r="84" customFormat="false" ht="12.8" hidden="false" customHeight="false" outlineLevel="0" collapsed="false">
      <c r="A84" s="0" t="s">
        <v>778</v>
      </c>
      <c r="B84" s="0" t="s">
        <v>9</v>
      </c>
      <c r="C84" s="0" t="str">
        <f aca="false">"200-211"</f>
        <v>200-211</v>
      </c>
      <c r="D84" s="0" t="s">
        <v>9</v>
      </c>
      <c r="E84" s="0" t="str">
        <f aca="false">"334-345"</f>
        <v>334-345</v>
      </c>
      <c r="F84" s="0" t="s">
        <v>862</v>
      </c>
      <c r="G84" s="0" t="s">
        <v>13</v>
      </c>
      <c r="H84" s="0" t="str">
        <f aca="false">"137-148"</f>
        <v>137-148</v>
      </c>
      <c r="I84" s="0" t="s">
        <v>13</v>
      </c>
      <c r="J84" s="0" t="str">
        <f aca="false">"178-189"</f>
        <v>178-189</v>
      </c>
      <c r="K84" s="0" t="str">
        <f aca="false">"0.63"</f>
        <v>0.63</v>
      </c>
      <c r="L84" s="0" t="str">
        <f aca="false">"10.19"</f>
        <v>10.19</v>
      </c>
      <c r="M84" s="0" t="str">
        <f aca="false">"17.1"</f>
        <v>17.1</v>
      </c>
    </row>
    <row r="85" customFormat="false" ht="12.8" hidden="false" customHeight="false" outlineLevel="0" collapsed="false">
      <c r="A85" s="0" t="s">
        <v>778</v>
      </c>
      <c r="B85" s="0" t="s">
        <v>9</v>
      </c>
      <c r="C85" s="0" t="str">
        <f aca="false">"204-215"</f>
        <v>204-215</v>
      </c>
      <c r="D85" s="0" t="s">
        <v>9</v>
      </c>
      <c r="E85" s="0" t="str">
        <f aca="false">"337-348"</f>
        <v>337-348</v>
      </c>
      <c r="F85" s="0" t="s">
        <v>863</v>
      </c>
      <c r="G85" s="0" t="s">
        <v>9</v>
      </c>
      <c r="H85" s="0" t="str">
        <f aca="false">"18-29"</f>
        <v>18-29</v>
      </c>
      <c r="I85" s="0" t="s">
        <v>13</v>
      </c>
      <c r="J85" s="0" t="str">
        <f aca="false">"73-84"</f>
        <v>73-84</v>
      </c>
      <c r="K85" s="0" t="str">
        <f aca="false">"0.97"</f>
        <v>0.97</v>
      </c>
      <c r="L85" s="0" t="str">
        <f aca="false">"10.31"</f>
        <v>10.31</v>
      </c>
      <c r="M85" s="0" t="str">
        <f aca="false">"36.2"</f>
        <v>36.2</v>
      </c>
    </row>
    <row r="86" customFormat="false" ht="12.8" hidden="false" customHeight="false" outlineLevel="0" collapsed="false">
      <c r="A86" s="0" t="s">
        <v>778</v>
      </c>
      <c r="B86" s="0" t="s">
        <v>9</v>
      </c>
      <c r="C86" s="0" t="str">
        <f aca="false">"204-215"</f>
        <v>204-215</v>
      </c>
      <c r="D86" s="0" t="s">
        <v>9</v>
      </c>
      <c r="E86" s="0" t="str">
        <f aca="false">"337-348"</f>
        <v>337-348</v>
      </c>
      <c r="F86" s="0" t="s">
        <v>864</v>
      </c>
      <c r="G86" s="0" t="s">
        <v>9</v>
      </c>
      <c r="H86" s="0" t="str">
        <f aca="false">"52-63"</f>
        <v>52-63</v>
      </c>
      <c r="I86" s="0" t="s">
        <v>13</v>
      </c>
      <c r="J86" s="0" t="str">
        <f aca="false">"52-63"</f>
        <v>52-63</v>
      </c>
      <c r="K86" s="0" t="str">
        <f aca="false">"0.96"</f>
        <v>0.96</v>
      </c>
      <c r="L86" s="0" t="str">
        <f aca="false">"10.22"</f>
        <v>10.22</v>
      </c>
      <c r="M86" s="0" t="str">
        <f aca="false">"21.5"</f>
        <v>21.5</v>
      </c>
    </row>
    <row r="87" customFormat="false" ht="12.8" hidden="false" customHeight="false" outlineLevel="0" collapsed="false">
      <c r="A87" s="0" t="s">
        <v>778</v>
      </c>
      <c r="B87" s="0" t="s">
        <v>9</v>
      </c>
      <c r="C87" s="0" t="str">
        <f aca="false">"200-211"</f>
        <v>200-211</v>
      </c>
      <c r="D87" s="0" t="s">
        <v>9</v>
      </c>
      <c r="E87" s="0" t="str">
        <f aca="false">"334-345"</f>
        <v>334-345</v>
      </c>
      <c r="F87" s="0" t="s">
        <v>865</v>
      </c>
      <c r="G87" s="0" t="s">
        <v>9</v>
      </c>
      <c r="H87" s="0" t="str">
        <f aca="false">"223-234"</f>
        <v>223-234</v>
      </c>
      <c r="I87" s="0" t="s">
        <v>9</v>
      </c>
      <c r="J87" s="0" t="str">
        <f aca="false">"271-282"</f>
        <v>271-282</v>
      </c>
      <c r="K87" s="0" t="str">
        <f aca="false">"0.92"</f>
        <v>0.92</v>
      </c>
      <c r="L87" s="0" t="str">
        <f aca="false">"11.38"</f>
        <v>11.38</v>
      </c>
      <c r="M87" s="0" t="str">
        <f aca="false">"20.2"</f>
        <v>20.2</v>
      </c>
    </row>
    <row r="88" customFormat="false" ht="12.8" hidden="false" customHeight="false" outlineLevel="0" collapsed="false">
      <c r="A88" s="0" t="s">
        <v>778</v>
      </c>
      <c r="B88" s="0" t="s">
        <v>9</v>
      </c>
      <c r="C88" s="0" t="str">
        <f aca="false">"204-215"</f>
        <v>204-215</v>
      </c>
      <c r="D88" s="0" t="s">
        <v>9</v>
      </c>
      <c r="E88" s="0" t="str">
        <f aca="false">"338-349"</f>
        <v>338-349</v>
      </c>
      <c r="F88" s="0" t="s">
        <v>866</v>
      </c>
      <c r="G88" s="0" t="s">
        <v>9</v>
      </c>
      <c r="H88" s="0" t="str">
        <f aca="false">"97-108"</f>
        <v>97-108</v>
      </c>
      <c r="I88" s="0" t="s">
        <v>9</v>
      </c>
      <c r="J88" s="0" t="str">
        <f aca="false">"195-206"</f>
        <v>195-206</v>
      </c>
      <c r="K88" s="0" t="str">
        <f aca="false">"0.90"</f>
        <v>0.90</v>
      </c>
      <c r="L88" s="0" t="str">
        <f aca="false">"9.46"</f>
        <v>9.46</v>
      </c>
      <c r="M88" s="0" t="str">
        <f aca="false">"28.1"</f>
        <v>28.1</v>
      </c>
    </row>
    <row r="89" customFormat="false" ht="12.8" hidden="false" customHeight="false" outlineLevel="0" collapsed="false">
      <c r="A89" s="0" t="s">
        <v>778</v>
      </c>
      <c r="B89" s="0" t="s">
        <v>9</v>
      </c>
      <c r="C89" s="0" t="str">
        <f aca="false">"204-215"</f>
        <v>204-215</v>
      </c>
      <c r="D89" s="0" t="s">
        <v>9</v>
      </c>
      <c r="E89" s="0" t="str">
        <f aca="false">"338-349"</f>
        <v>338-349</v>
      </c>
      <c r="F89" s="0" t="s">
        <v>867</v>
      </c>
      <c r="G89" s="0" t="s">
        <v>9</v>
      </c>
      <c r="H89" s="0" t="str">
        <f aca="false">"529-540"</f>
        <v>529-540</v>
      </c>
      <c r="I89" s="0" t="s">
        <v>9</v>
      </c>
      <c r="J89" s="0" t="str">
        <f aca="false">"578-589"</f>
        <v>578-589</v>
      </c>
      <c r="K89" s="0" t="str">
        <f aca="false">"0.90"</f>
        <v>0.90</v>
      </c>
      <c r="L89" s="0" t="str">
        <f aca="false">"10.05"</f>
        <v>10.05</v>
      </c>
      <c r="M89" s="0" t="str">
        <f aca="false">"19.3"</f>
        <v>19.3</v>
      </c>
    </row>
    <row r="90" customFormat="false" ht="12.8" hidden="false" customHeight="false" outlineLevel="0" collapsed="false">
      <c r="A90" s="0" t="s">
        <v>778</v>
      </c>
      <c r="B90" s="0" t="s">
        <v>9</v>
      </c>
      <c r="C90" s="0" t="str">
        <f aca="false">"200-211"</f>
        <v>200-211</v>
      </c>
      <c r="D90" s="0" t="s">
        <v>9</v>
      </c>
      <c r="E90" s="0" t="str">
        <f aca="false">"334-345"</f>
        <v>334-345</v>
      </c>
      <c r="F90" s="0" t="s">
        <v>868</v>
      </c>
      <c r="G90" s="0" t="s">
        <v>9</v>
      </c>
      <c r="H90" s="0" t="str">
        <f aca="false">"74-85"</f>
        <v>74-85</v>
      </c>
      <c r="I90" s="0" t="s">
        <v>9</v>
      </c>
      <c r="J90" s="0" t="str">
        <f aca="false">"124-135"</f>
        <v>124-135</v>
      </c>
      <c r="K90" s="0" t="str">
        <f aca="false">"0.92"</f>
        <v>0.92</v>
      </c>
      <c r="L90" s="0" t="str">
        <f aca="false">"9.20"</f>
        <v>9.20</v>
      </c>
      <c r="M90" s="0" t="str">
        <f aca="false">"19.5"</f>
        <v>19.5</v>
      </c>
    </row>
    <row r="91" customFormat="false" ht="12.8" hidden="false" customHeight="false" outlineLevel="0" collapsed="false">
      <c r="A91" s="0" t="s">
        <v>778</v>
      </c>
      <c r="B91" s="0" t="s">
        <v>9</v>
      </c>
      <c r="C91" s="0" t="str">
        <f aca="false">"204-215"</f>
        <v>204-215</v>
      </c>
      <c r="D91" s="0" t="s">
        <v>9</v>
      </c>
      <c r="E91" s="0" t="str">
        <f aca="false">"337-348"</f>
        <v>337-348</v>
      </c>
      <c r="F91" s="0" t="s">
        <v>869</v>
      </c>
      <c r="G91" s="0" t="s">
        <v>9</v>
      </c>
      <c r="H91" s="0" t="str">
        <f aca="false">"108-119"</f>
        <v>108-119</v>
      </c>
      <c r="I91" s="0" t="s">
        <v>9</v>
      </c>
      <c r="J91" s="0" t="str">
        <f aca="false">"86-97"</f>
        <v>86-97</v>
      </c>
      <c r="K91" s="0" t="str">
        <f aca="false">"0.98"</f>
        <v>0.98</v>
      </c>
      <c r="L91" s="0" t="str">
        <f aca="false">"11.16"</f>
        <v>11.16</v>
      </c>
      <c r="M91" s="0" t="str">
        <f aca="false">"21.9"</f>
        <v>21.9</v>
      </c>
    </row>
    <row r="92" customFormat="false" ht="12.8" hidden="false" customHeight="false" outlineLevel="0" collapsed="false">
      <c r="A92" s="0" t="s">
        <v>778</v>
      </c>
      <c r="B92" s="0" t="s">
        <v>9</v>
      </c>
      <c r="C92" s="0" t="str">
        <f aca="false">"200-211"</f>
        <v>200-211</v>
      </c>
      <c r="D92" s="0" t="s">
        <v>9</v>
      </c>
      <c r="E92" s="0" t="str">
        <f aca="false">"334-345"</f>
        <v>334-345</v>
      </c>
      <c r="F92" s="0" t="s">
        <v>870</v>
      </c>
      <c r="G92" s="0" t="s">
        <v>9</v>
      </c>
      <c r="H92" s="0" t="str">
        <f aca="false">"171-182"</f>
        <v>171-182</v>
      </c>
      <c r="I92" s="0" t="s">
        <v>9</v>
      </c>
      <c r="J92" s="0" t="str">
        <f aca="false">"93-104"</f>
        <v>93-104</v>
      </c>
      <c r="K92" s="0" t="str">
        <f aca="false">"0.66"</f>
        <v>0.66</v>
      </c>
      <c r="L92" s="0" t="str">
        <f aca="false">"9.71"</f>
        <v>9.71</v>
      </c>
      <c r="M92" s="0" t="str">
        <f aca="false">"29.2"</f>
        <v>29.2</v>
      </c>
    </row>
    <row r="93" customFormat="false" ht="12.8" hidden="false" customHeight="false" outlineLevel="0" collapsed="false">
      <c r="A93" s="0" t="s">
        <v>778</v>
      </c>
      <c r="B93" s="0" t="s">
        <v>9</v>
      </c>
      <c r="C93" s="0" t="str">
        <f aca="false">"200-211"</f>
        <v>200-211</v>
      </c>
      <c r="D93" s="0" t="s">
        <v>9</v>
      </c>
      <c r="E93" s="0" t="str">
        <f aca="false">"334-345"</f>
        <v>334-345</v>
      </c>
      <c r="F93" s="0" t="s">
        <v>871</v>
      </c>
      <c r="G93" s="0" t="s">
        <v>9</v>
      </c>
      <c r="H93" s="0" t="str">
        <f aca="false">"300-311"</f>
        <v>300-311</v>
      </c>
      <c r="I93" s="0" t="s">
        <v>9</v>
      </c>
      <c r="J93" s="0" t="str">
        <f aca="false">"211-222"</f>
        <v>211-222</v>
      </c>
      <c r="K93" s="0" t="str">
        <f aca="false">"0.92"</f>
        <v>0.92</v>
      </c>
      <c r="L93" s="0" t="str">
        <f aca="false">"10.34"</f>
        <v>10.34</v>
      </c>
      <c r="M93" s="0" t="str">
        <f aca="false">"25.5"</f>
        <v>25.5</v>
      </c>
    </row>
    <row r="94" customFormat="false" ht="12.8" hidden="false" customHeight="false" outlineLevel="0" collapsed="false">
      <c r="A94" s="0" t="s">
        <v>778</v>
      </c>
      <c r="B94" s="0" t="s">
        <v>9</v>
      </c>
      <c r="C94" s="0" t="str">
        <f aca="false">"200-211"</f>
        <v>200-211</v>
      </c>
      <c r="D94" s="0" t="s">
        <v>9</v>
      </c>
      <c r="E94" s="0" t="str">
        <f aca="false">"334-345"</f>
        <v>334-345</v>
      </c>
      <c r="F94" s="0" t="s">
        <v>872</v>
      </c>
      <c r="G94" s="0" t="s">
        <v>13</v>
      </c>
      <c r="H94" s="0" t="str">
        <f aca="false">"109-120"</f>
        <v>109-120</v>
      </c>
      <c r="I94" s="0" t="s">
        <v>13</v>
      </c>
      <c r="J94" s="0" t="str">
        <f aca="false">"317-328"</f>
        <v>317-328</v>
      </c>
      <c r="K94" s="0" t="str">
        <f aca="false">"0.88"</f>
        <v>0.88</v>
      </c>
      <c r="L94" s="0" t="str">
        <f aca="false">"9.78"</f>
        <v>9.78</v>
      </c>
      <c r="M94" s="0" t="str">
        <f aca="false">"14.4"</f>
        <v>14.4</v>
      </c>
    </row>
    <row r="95" customFormat="false" ht="12.8" hidden="false" customHeight="false" outlineLevel="0" collapsed="false">
      <c r="A95" s="0" t="s">
        <v>778</v>
      </c>
      <c r="B95" s="0" t="s">
        <v>9</v>
      </c>
      <c r="C95" s="0" t="str">
        <f aca="false">"200-211"</f>
        <v>200-211</v>
      </c>
      <c r="D95" s="0" t="s">
        <v>9</v>
      </c>
      <c r="E95" s="0" t="str">
        <f aca="false">"334-345"</f>
        <v>334-345</v>
      </c>
      <c r="F95" s="0" t="s">
        <v>873</v>
      </c>
      <c r="G95" s="0" t="s">
        <v>9</v>
      </c>
      <c r="H95" s="0" t="str">
        <f aca="false">"98-109"</f>
        <v>98-109</v>
      </c>
      <c r="I95" s="0" t="s">
        <v>9</v>
      </c>
      <c r="J95" s="0" t="str">
        <f aca="false">"20-31"</f>
        <v>20-31</v>
      </c>
      <c r="K95" s="0" t="str">
        <f aca="false">"0.68"</f>
        <v>0.68</v>
      </c>
      <c r="L95" s="0" t="str">
        <f aca="false">"9.34"</f>
        <v>9.34</v>
      </c>
      <c r="M95" s="0" t="str">
        <f aca="false">"19.1"</f>
        <v>19.1</v>
      </c>
    </row>
    <row r="96" customFormat="false" ht="12.8" hidden="false" customHeight="false" outlineLevel="0" collapsed="false">
      <c r="A96" s="0" t="s">
        <v>778</v>
      </c>
      <c r="B96" s="0" t="s">
        <v>9</v>
      </c>
      <c r="C96" s="0" t="str">
        <f aca="false">"204-215"</f>
        <v>204-215</v>
      </c>
      <c r="D96" s="0" t="s">
        <v>9</v>
      </c>
      <c r="E96" s="0" t="str">
        <f aca="false">"337-348"</f>
        <v>337-348</v>
      </c>
      <c r="F96" s="0" t="s">
        <v>874</v>
      </c>
      <c r="G96" s="0" t="s">
        <v>13</v>
      </c>
      <c r="H96" s="0" t="str">
        <f aca="false">"756-767"</f>
        <v>756-767</v>
      </c>
      <c r="I96" s="0" t="s">
        <v>9</v>
      </c>
      <c r="J96" s="0" t="str">
        <f aca="false">"109-120"</f>
        <v>109-120</v>
      </c>
      <c r="K96" s="0" t="str">
        <f aca="false">"1.23"</f>
        <v>1.23</v>
      </c>
      <c r="L96" s="0" t="str">
        <f aca="false">"11.58"</f>
        <v>11.58</v>
      </c>
      <c r="M96" s="0" t="str">
        <f aca="false">"15.1"</f>
        <v>15.1</v>
      </c>
    </row>
    <row r="97" customFormat="false" ht="12.8" hidden="false" customHeight="false" outlineLevel="0" collapsed="false">
      <c r="A97" s="0" t="s">
        <v>778</v>
      </c>
      <c r="B97" s="0" t="s">
        <v>9</v>
      </c>
      <c r="C97" s="0" t="str">
        <f aca="false">"204-215"</f>
        <v>204-215</v>
      </c>
      <c r="D97" s="0" t="s">
        <v>9</v>
      </c>
      <c r="E97" s="0" t="str">
        <f aca="false">"337-348"</f>
        <v>337-348</v>
      </c>
      <c r="F97" s="0" t="s">
        <v>875</v>
      </c>
      <c r="G97" s="0" t="s">
        <v>9</v>
      </c>
      <c r="H97" s="0" t="str">
        <f aca="false">"165-176"</f>
        <v>165-176</v>
      </c>
      <c r="I97" s="0" t="s">
        <v>9</v>
      </c>
      <c r="J97" s="0" t="str">
        <f aca="false">"213-224"</f>
        <v>213-224</v>
      </c>
      <c r="K97" s="0" t="str">
        <f aca="false">"0.84"</f>
        <v>0.84</v>
      </c>
      <c r="L97" s="0" t="str">
        <f aca="false">"9.70"</f>
        <v>9.70</v>
      </c>
      <c r="M97" s="0" t="str">
        <f aca="false">"14.4"</f>
        <v>14.4</v>
      </c>
    </row>
    <row r="98" customFormat="false" ht="12.8" hidden="false" customHeight="false" outlineLevel="0" collapsed="false">
      <c r="A98" s="0" t="s">
        <v>778</v>
      </c>
      <c r="B98" s="0" t="s">
        <v>9</v>
      </c>
      <c r="C98" s="0" t="str">
        <f aca="false">"207-218"</f>
        <v>207-218</v>
      </c>
      <c r="D98" s="0" t="s">
        <v>9</v>
      </c>
      <c r="E98" s="0" t="str">
        <f aca="false">"341-352"</f>
        <v>341-352</v>
      </c>
      <c r="F98" s="0" t="s">
        <v>876</v>
      </c>
      <c r="G98" s="0" t="s">
        <v>9</v>
      </c>
      <c r="H98" s="0" t="str">
        <f aca="false">"51-62"</f>
        <v>51-62</v>
      </c>
      <c r="I98" s="0" t="s">
        <v>9</v>
      </c>
      <c r="J98" s="0" t="str">
        <f aca="false">"89-100"</f>
        <v>89-100</v>
      </c>
      <c r="K98" s="0" t="str">
        <f aca="false">"0.90"</f>
        <v>0.90</v>
      </c>
      <c r="L98" s="0" t="str">
        <f aca="false">"11.56"</f>
        <v>11.56</v>
      </c>
      <c r="M98" s="0" t="str">
        <f aca="false">"13.2"</f>
        <v>13.2</v>
      </c>
    </row>
    <row r="99" customFormat="false" ht="12.8" hidden="false" customHeight="false" outlineLevel="0" collapsed="false">
      <c r="A99" s="0" t="s">
        <v>778</v>
      </c>
      <c r="B99" s="0" t="s">
        <v>9</v>
      </c>
      <c r="C99" s="0" t="str">
        <f aca="false">"200-211"</f>
        <v>200-211</v>
      </c>
      <c r="D99" s="0" t="s">
        <v>9</v>
      </c>
      <c r="E99" s="0" t="str">
        <f aca="false">"334-345"</f>
        <v>334-345</v>
      </c>
      <c r="F99" s="0" t="s">
        <v>877</v>
      </c>
      <c r="G99" s="0" t="s">
        <v>120</v>
      </c>
      <c r="H99" s="0" t="str">
        <f aca="false">"264-275"</f>
        <v>264-275</v>
      </c>
      <c r="I99" s="0" t="s">
        <v>120</v>
      </c>
      <c r="J99" s="0" t="str">
        <f aca="false">"197-208"</f>
        <v>197-208</v>
      </c>
      <c r="K99" s="0" t="str">
        <f aca="false">"0.79"</f>
        <v>0.79</v>
      </c>
      <c r="L99" s="0" t="str">
        <f aca="false">"9.43"</f>
        <v>9.43</v>
      </c>
      <c r="M99" s="0" t="str">
        <f aca="false">"17.8"</f>
        <v>17.8</v>
      </c>
    </row>
    <row r="100" customFormat="false" ht="12.8" hidden="false" customHeight="false" outlineLevel="0" collapsed="false">
      <c r="A100" s="0" t="s">
        <v>778</v>
      </c>
      <c r="B100" s="0" t="s">
        <v>9</v>
      </c>
      <c r="C100" s="0" t="str">
        <f aca="false">"200-211"</f>
        <v>200-211</v>
      </c>
      <c r="D100" s="0" t="s">
        <v>9</v>
      </c>
      <c r="E100" s="0" t="str">
        <f aca="false">"334-345"</f>
        <v>334-345</v>
      </c>
      <c r="F100" s="0" t="s">
        <v>878</v>
      </c>
      <c r="G100" s="0" t="s">
        <v>9</v>
      </c>
      <c r="H100" s="0" t="str">
        <f aca="false">"16-27"</f>
        <v>16-27</v>
      </c>
      <c r="I100" s="0" t="s">
        <v>9</v>
      </c>
      <c r="J100" s="0" t="str">
        <f aca="false">"71-82"</f>
        <v>71-82</v>
      </c>
      <c r="K100" s="0" t="str">
        <f aca="false">"1.17"</f>
        <v>1.17</v>
      </c>
      <c r="L100" s="0" t="str">
        <f aca="false">"9.77"</f>
        <v>9.77</v>
      </c>
      <c r="M100" s="0" t="str">
        <f aca="false">"13.0"</f>
        <v>13.0</v>
      </c>
    </row>
    <row r="101" customFormat="false" ht="12.8" hidden="false" customHeight="false" outlineLevel="0" collapsed="false">
      <c r="A101" s="0" t="s">
        <v>778</v>
      </c>
      <c r="B101" s="0" t="s">
        <v>9</v>
      </c>
      <c r="C101" s="0" t="str">
        <f aca="false">"204-215"</f>
        <v>204-215</v>
      </c>
      <c r="D101" s="0" t="s">
        <v>9</v>
      </c>
      <c r="E101" s="0" t="str">
        <f aca="false">"337-348"</f>
        <v>337-348</v>
      </c>
      <c r="F101" s="0" t="s">
        <v>879</v>
      </c>
      <c r="G101" s="0" t="s">
        <v>9</v>
      </c>
      <c r="H101" s="0" t="str">
        <f aca="false">"157-168"</f>
        <v>157-168</v>
      </c>
      <c r="I101" s="0" t="s">
        <v>9</v>
      </c>
      <c r="J101" s="0" t="str">
        <f aca="false">"222-233"</f>
        <v>222-233</v>
      </c>
      <c r="K101" s="0" t="str">
        <f aca="false">"1.09"</f>
        <v>1.09</v>
      </c>
      <c r="L101" s="0" t="str">
        <f aca="false">"11.56"</f>
        <v>11.56</v>
      </c>
      <c r="M101" s="0" t="str">
        <f aca="false">"19.0"</f>
        <v>19.0</v>
      </c>
    </row>
    <row r="102" customFormat="false" ht="12.8" hidden="false" customHeight="false" outlineLevel="0" collapsed="false">
      <c r="A102" s="0" t="s">
        <v>778</v>
      </c>
      <c r="B102" s="0" t="s">
        <v>9</v>
      </c>
      <c r="C102" s="0" t="str">
        <f aca="false">"200-211"</f>
        <v>200-211</v>
      </c>
      <c r="D102" s="0" t="s">
        <v>9</v>
      </c>
      <c r="E102" s="0" t="str">
        <f aca="false">"334-345"</f>
        <v>334-345</v>
      </c>
      <c r="F102" s="0" t="s">
        <v>880</v>
      </c>
      <c r="G102" s="0" t="s">
        <v>9</v>
      </c>
      <c r="H102" s="0" t="str">
        <f aca="false">"535-546"</f>
        <v>535-546</v>
      </c>
      <c r="I102" s="0" t="s">
        <v>9</v>
      </c>
      <c r="J102" s="0" t="str">
        <f aca="false">"611-622"</f>
        <v>611-622</v>
      </c>
      <c r="K102" s="0" t="str">
        <f aca="false">"0.81"</f>
        <v>0.81</v>
      </c>
      <c r="L102" s="0" t="str">
        <f aca="false">"9.90"</f>
        <v>9.90</v>
      </c>
      <c r="M102" s="0" t="str">
        <f aca="false">"18.8"</f>
        <v>18.8</v>
      </c>
    </row>
    <row r="103" customFormat="false" ht="12.8" hidden="false" customHeight="false" outlineLevel="0" collapsed="false">
      <c r="A103" s="0" t="s">
        <v>778</v>
      </c>
      <c r="B103" s="0" t="s">
        <v>9</v>
      </c>
      <c r="C103" s="0" t="str">
        <f aca="false">"204-215"</f>
        <v>204-215</v>
      </c>
      <c r="D103" s="0" t="s">
        <v>9</v>
      </c>
      <c r="E103" s="0" t="str">
        <f aca="false">"337-348"</f>
        <v>337-348</v>
      </c>
      <c r="F103" s="0" t="s">
        <v>881</v>
      </c>
      <c r="G103" s="0" t="s">
        <v>9</v>
      </c>
      <c r="H103" s="0" t="str">
        <f aca="false">"718-729"</f>
        <v>718-729</v>
      </c>
      <c r="I103" s="0" t="s">
        <v>9</v>
      </c>
      <c r="J103" s="0" t="str">
        <f aca="false">"640-651"</f>
        <v>640-651</v>
      </c>
      <c r="K103" s="0" t="str">
        <f aca="false">"0.61"</f>
        <v>0.61</v>
      </c>
      <c r="L103" s="0" t="str">
        <f aca="false">"9.45"</f>
        <v>9.45</v>
      </c>
      <c r="M103" s="0" t="str">
        <f aca="false">"23.1"</f>
        <v>23.1</v>
      </c>
    </row>
    <row r="104" customFormat="false" ht="12.8" hidden="false" customHeight="false" outlineLevel="0" collapsed="false">
      <c r="A104" s="0" t="s">
        <v>778</v>
      </c>
      <c r="B104" s="0" t="s">
        <v>9</v>
      </c>
      <c r="C104" s="0" t="str">
        <f aca="false">"200-211"</f>
        <v>200-211</v>
      </c>
      <c r="D104" s="0" t="s">
        <v>9</v>
      </c>
      <c r="E104" s="0" t="str">
        <f aca="false">"334-345"</f>
        <v>334-345</v>
      </c>
      <c r="F104" s="0" t="s">
        <v>882</v>
      </c>
      <c r="G104" s="0" t="s">
        <v>13</v>
      </c>
      <c r="H104" s="0" t="str">
        <f aca="false">"127-138"</f>
        <v>127-138</v>
      </c>
      <c r="I104" s="0" t="s">
        <v>9</v>
      </c>
      <c r="J104" s="0" t="str">
        <f aca="false">"127-138"</f>
        <v>127-138</v>
      </c>
      <c r="K104" s="0" t="str">
        <f aca="false">"0.85"</f>
        <v>0.85</v>
      </c>
      <c r="L104" s="0" t="str">
        <f aca="false">"9.42"</f>
        <v>9.42</v>
      </c>
      <c r="M104" s="0" t="str">
        <f aca="false">"22.4"</f>
        <v>22.4</v>
      </c>
    </row>
    <row r="105" customFormat="false" ht="12.8" hidden="false" customHeight="false" outlineLevel="0" collapsed="false">
      <c r="A105" s="0" t="s">
        <v>778</v>
      </c>
      <c r="B105" s="0" t="s">
        <v>9</v>
      </c>
      <c r="C105" s="0" t="str">
        <f aca="false">"200-211"</f>
        <v>200-211</v>
      </c>
      <c r="D105" s="0" t="s">
        <v>9</v>
      </c>
      <c r="E105" s="0" t="str">
        <f aca="false">"334-345"</f>
        <v>334-345</v>
      </c>
      <c r="F105" s="0" t="s">
        <v>883</v>
      </c>
      <c r="G105" s="0" t="s">
        <v>9</v>
      </c>
      <c r="H105" s="0" t="str">
        <f aca="false">"353-364"</f>
        <v>353-364</v>
      </c>
      <c r="I105" s="0" t="s">
        <v>9</v>
      </c>
      <c r="J105" s="0" t="str">
        <f aca="false">"295-306"</f>
        <v>295-306</v>
      </c>
      <c r="K105" s="0" t="str">
        <f aca="false">"1.21"</f>
        <v>1.21</v>
      </c>
      <c r="L105" s="0" t="str">
        <f aca="false">"9.24"</f>
        <v>9.24</v>
      </c>
      <c r="M105" s="0" t="str">
        <f aca="false">"36.6"</f>
        <v>36.6</v>
      </c>
    </row>
    <row r="106" customFormat="false" ht="12.8" hidden="false" customHeight="false" outlineLevel="0" collapsed="false">
      <c r="A106" s="0" t="s">
        <v>778</v>
      </c>
      <c r="B106" s="0" t="s">
        <v>9</v>
      </c>
      <c r="C106" s="0" t="str">
        <f aca="false">"210-221"</f>
        <v>210-221</v>
      </c>
      <c r="D106" s="0" t="s">
        <v>9</v>
      </c>
      <c r="E106" s="0" t="str">
        <f aca="false">"341-352"</f>
        <v>341-352</v>
      </c>
      <c r="F106" s="0" t="s">
        <v>884</v>
      </c>
      <c r="G106" s="0" t="s">
        <v>885</v>
      </c>
      <c r="H106" s="0" t="str">
        <f aca="false">"66-77"</f>
        <v>66-77</v>
      </c>
      <c r="I106" s="0" t="s">
        <v>885</v>
      </c>
      <c r="J106" s="0" t="str">
        <f aca="false">"187-198"</f>
        <v>187-198</v>
      </c>
      <c r="K106" s="0" t="str">
        <f aca="false">"0.78"</f>
        <v>0.78</v>
      </c>
      <c r="L106" s="0" t="str">
        <f aca="false">"10.89"</f>
        <v>10.89</v>
      </c>
      <c r="M106" s="0" t="str">
        <f aca="false">"27.8"</f>
        <v>27.8</v>
      </c>
    </row>
    <row r="107" customFormat="false" ht="12.8" hidden="false" customHeight="false" outlineLevel="0" collapsed="false">
      <c r="A107" s="0" t="s">
        <v>778</v>
      </c>
      <c r="B107" s="0" t="s">
        <v>9</v>
      </c>
      <c r="C107" s="0" t="str">
        <f aca="false">"200-211"</f>
        <v>200-211</v>
      </c>
      <c r="D107" s="0" t="s">
        <v>9</v>
      </c>
      <c r="E107" s="0" t="str">
        <f aca="false">"334-345"</f>
        <v>334-345</v>
      </c>
      <c r="F107" s="0" t="s">
        <v>886</v>
      </c>
      <c r="G107" s="0" t="s">
        <v>13</v>
      </c>
      <c r="H107" s="0" t="str">
        <f aca="false">"261-272"</f>
        <v>261-272</v>
      </c>
      <c r="I107" s="0" t="s">
        <v>9</v>
      </c>
      <c r="J107" s="0" t="str">
        <f aca="false">"261-272"</f>
        <v>261-272</v>
      </c>
      <c r="K107" s="0" t="str">
        <f aca="false">"0.90"</f>
        <v>0.90</v>
      </c>
      <c r="L107" s="0" t="str">
        <f aca="false">"9.79"</f>
        <v>9.79</v>
      </c>
      <c r="M107" s="0" t="str">
        <f aca="false">"20.0"</f>
        <v>20.0</v>
      </c>
    </row>
    <row r="108" customFormat="false" ht="12.8" hidden="false" customHeight="false" outlineLevel="0" collapsed="false">
      <c r="A108" s="0" t="s">
        <v>778</v>
      </c>
      <c r="B108" s="0" t="s">
        <v>9</v>
      </c>
      <c r="C108" s="0" t="str">
        <f aca="false">"204-215"</f>
        <v>204-215</v>
      </c>
      <c r="D108" s="0" t="s">
        <v>9</v>
      </c>
      <c r="E108" s="0" t="str">
        <f aca="false">"337-348"</f>
        <v>337-348</v>
      </c>
      <c r="F108" s="0" t="s">
        <v>887</v>
      </c>
      <c r="G108" s="0" t="s">
        <v>9</v>
      </c>
      <c r="H108" s="0" t="str">
        <f aca="false">"70-81"</f>
        <v>70-81</v>
      </c>
      <c r="I108" s="0" t="s">
        <v>9</v>
      </c>
      <c r="J108" s="0" t="str">
        <f aca="false">"472-483"</f>
        <v>472-483</v>
      </c>
      <c r="K108" s="0" t="str">
        <f aca="false">"1.01"</f>
        <v>1.01</v>
      </c>
      <c r="L108" s="0" t="str">
        <f aca="false">"9.74"</f>
        <v>9.74</v>
      </c>
      <c r="M108" s="0" t="str">
        <f aca="false">"32.0"</f>
        <v>32.0</v>
      </c>
    </row>
    <row r="109" customFormat="false" ht="12.8" hidden="false" customHeight="false" outlineLevel="0" collapsed="false">
      <c r="A109" s="0" t="s">
        <v>778</v>
      </c>
      <c r="B109" s="0" t="s">
        <v>9</v>
      </c>
      <c r="C109" s="0" t="str">
        <f aca="false">"200-211"</f>
        <v>200-211</v>
      </c>
      <c r="D109" s="0" t="s">
        <v>9</v>
      </c>
      <c r="E109" s="0" t="str">
        <f aca="false">"334-345"</f>
        <v>334-345</v>
      </c>
      <c r="F109" s="0" t="s">
        <v>888</v>
      </c>
      <c r="G109" s="0" t="s">
        <v>9</v>
      </c>
      <c r="H109" s="0" t="str">
        <f aca="false">"122-133"</f>
        <v>122-133</v>
      </c>
      <c r="I109" s="0" t="s">
        <v>9</v>
      </c>
      <c r="J109" s="0" t="str">
        <f aca="false">"190-201"</f>
        <v>190-201</v>
      </c>
      <c r="K109" s="0" t="str">
        <f aca="false">"0.57"</f>
        <v>0.57</v>
      </c>
      <c r="L109" s="0" t="str">
        <f aca="false">"9.21"</f>
        <v>9.21</v>
      </c>
      <c r="M109" s="0" t="str">
        <f aca="false">"18.6"</f>
        <v>18.6</v>
      </c>
    </row>
    <row r="110" customFormat="false" ht="12.8" hidden="false" customHeight="false" outlineLevel="0" collapsed="false">
      <c r="A110" s="0" t="s">
        <v>778</v>
      </c>
      <c r="B110" s="0" t="s">
        <v>9</v>
      </c>
      <c r="C110" s="0" t="str">
        <f aca="false">"200-211"</f>
        <v>200-211</v>
      </c>
      <c r="D110" s="0" t="s">
        <v>9</v>
      </c>
      <c r="E110" s="0" t="str">
        <f aca="false">"334-345"</f>
        <v>334-345</v>
      </c>
      <c r="F110" s="0" t="s">
        <v>889</v>
      </c>
      <c r="G110" s="0" t="s">
        <v>9</v>
      </c>
      <c r="H110" s="0" t="str">
        <f aca="false">"33-44"</f>
        <v>33-44</v>
      </c>
      <c r="I110" s="0" t="s">
        <v>9</v>
      </c>
      <c r="J110" s="0" t="str">
        <f aca="false">"84-95"</f>
        <v>84-95</v>
      </c>
      <c r="K110" s="0" t="str">
        <f aca="false">"0.82"</f>
        <v>0.82</v>
      </c>
      <c r="L110" s="0" t="str">
        <f aca="false">"9.30"</f>
        <v>9.30</v>
      </c>
      <c r="M110" s="0" t="str">
        <f aca="false">"19.2"</f>
        <v>19.2</v>
      </c>
    </row>
    <row r="111" customFormat="false" ht="12.8" hidden="false" customHeight="false" outlineLevel="0" collapsed="false">
      <c r="A111" s="0" t="s">
        <v>778</v>
      </c>
      <c r="B111" s="0" t="s">
        <v>9</v>
      </c>
      <c r="C111" s="0" t="str">
        <f aca="false">"207-218"</f>
        <v>207-218</v>
      </c>
      <c r="D111" s="0" t="s">
        <v>9</v>
      </c>
      <c r="E111" s="0" t="str">
        <f aca="false">"341-352"</f>
        <v>341-352</v>
      </c>
      <c r="F111" s="0" t="s">
        <v>890</v>
      </c>
      <c r="G111" s="0" t="s">
        <v>9</v>
      </c>
      <c r="H111" s="0" t="str">
        <f aca="false">"237-248"</f>
        <v>237-248</v>
      </c>
      <c r="I111" s="0" t="s">
        <v>9</v>
      </c>
      <c r="J111" s="0" t="str">
        <f aca="false">"173-184"</f>
        <v>173-184</v>
      </c>
      <c r="K111" s="0" t="str">
        <f aca="false">"1.19"</f>
        <v>1.19</v>
      </c>
      <c r="L111" s="0" t="str">
        <f aca="false">"11.32"</f>
        <v>11.32</v>
      </c>
      <c r="M111" s="0" t="str">
        <f aca="false">"37.8"</f>
        <v>37.8</v>
      </c>
    </row>
    <row r="112" customFormat="false" ht="12.8" hidden="false" customHeight="false" outlineLevel="0" collapsed="false">
      <c r="A112" s="0" t="s">
        <v>778</v>
      </c>
      <c r="B112" s="0" t="s">
        <v>9</v>
      </c>
      <c r="C112" s="0" t="str">
        <f aca="false">"207-218"</f>
        <v>207-218</v>
      </c>
      <c r="D112" s="0" t="s">
        <v>9</v>
      </c>
      <c r="E112" s="0" t="str">
        <f aca="false">"340-351"</f>
        <v>340-351</v>
      </c>
      <c r="F112" s="0" t="s">
        <v>891</v>
      </c>
      <c r="G112" s="0" t="s">
        <v>9</v>
      </c>
      <c r="H112" s="0" t="str">
        <f aca="false">"378-389"</f>
        <v>378-389</v>
      </c>
      <c r="I112" s="0" t="s">
        <v>9</v>
      </c>
      <c r="J112" s="0" t="str">
        <f aca="false">"80-91"</f>
        <v>80-91</v>
      </c>
      <c r="K112" s="0" t="str">
        <f aca="false">"1.16"</f>
        <v>1.16</v>
      </c>
      <c r="L112" s="0" t="str">
        <f aca="false">"10.26"</f>
        <v>10.26</v>
      </c>
      <c r="M112" s="0" t="str">
        <f aca="false">"27.8"</f>
        <v>27.8</v>
      </c>
    </row>
    <row r="113" customFormat="false" ht="12.8" hidden="false" customHeight="false" outlineLevel="0" collapsed="false">
      <c r="A113" s="0" t="s">
        <v>778</v>
      </c>
      <c r="B113" s="0" t="s">
        <v>9</v>
      </c>
      <c r="C113" s="0" t="str">
        <f aca="false">"204-215"</f>
        <v>204-215</v>
      </c>
      <c r="D113" s="0" t="s">
        <v>9</v>
      </c>
      <c r="E113" s="0" t="str">
        <f aca="false">"337-348"</f>
        <v>337-348</v>
      </c>
      <c r="F113" s="0" t="s">
        <v>892</v>
      </c>
      <c r="G113" s="0" t="s">
        <v>9</v>
      </c>
      <c r="H113" s="0" t="str">
        <f aca="false">"56-67"</f>
        <v>56-67</v>
      </c>
      <c r="I113" s="0" t="s">
        <v>9</v>
      </c>
      <c r="J113" s="0" t="str">
        <f aca="false">"610-621"</f>
        <v>610-621</v>
      </c>
      <c r="K113" s="0" t="str">
        <f aca="false">"0.93"</f>
        <v>0.93</v>
      </c>
      <c r="L113" s="0" t="str">
        <f aca="false">"9.38"</f>
        <v>9.38</v>
      </c>
      <c r="M113" s="0" t="str">
        <f aca="false">"29.2"</f>
        <v>29.2</v>
      </c>
    </row>
    <row r="114" customFormat="false" ht="12.8" hidden="false" customHeight="false" outlineLevel="0" collapsed="false">
      <c r="A114" s="0" t="s">
        <v>778</v>
      </c>
      <c r="B114" s="0" t="s">
        <v>9</v>
      </c>
      <c r="C114" s="0" t="str">
        <f aca="false">"200-211"</f>
        <v>200-211</v>
      </c>
      <c r="D114" s="0" t="s">
        <v>9</v>
      </c>
      <c r="E114" s="0" t="str">
        <f aca="false">"334-345"</f>
        <v>334-345</v>
      </c>
      <c r="F114" s="0" t="s">
        <v>893</v>
      </c>
      <c r="G114" s="0" t="s">
        <v>9</v>
      </c>
      <c r="H114" s="0" t="str">
        <f aca="false">"149-160"</f>
        <v>149-160</v>
      </c>
      <c r="I114" s="0" t="s">
        <v>9</v>
      </c>
      <c r="J114" s="0" t="str">
        <f aca="false">"72-83"</f>
        <v>72-83</v>
      </c>
      <c r="K114" s="0" t="str">
        <f aca="false">"0.80"</f>
        <v>0.80</v>
      </c>
      <c r="L114" s="0" t="str">
        <f aca="false">"9.94"</f>
        <v>9.94</v>
      </c>
      <c r="M114" s="0" t="str">
        <f aca="false">"17.5"</f>
        <v>17.5</v>
      </c>
    </row>
    <row r="115" customFormat="false" ht="12.8" hidden="false" customHeight="false" outlineLevel="0" collapsed="false">
      <c r="A115" s="0" t="s">
        <v>778</v>
      </c>
      <c r="B115" s="0" t="s">
        <v>9</v>
      </c>
      <c r="C115" s="0" t="str">
        <f aca="false">"200-211"</f>
        <v>200-211</v>
      </c>
      <c r="D115" s="0" t="s">
        <v>9</v>
      </c>
      <c r="E115" s="0" t="str">
        <f aca="false">"333-344"</f>
        <v>333-344</v>
      </c>
      <c r="F115" s="0" t="s">
        <v>894</v>
      </c>
      <c r="G115" s="0" t="s">
        <v>120</v>
      </c>
      <c r="H115" s="0" t="str">
        <f aca="false">"144-155"</f>
        <v>144-155</v>
      </c>
      <c r="I115" s="0" t="s">
        <v>120</v>
      </c>
      <c r="J115" s="0" t="str">
        <f aca="false">"207-218"</f>
        <v>207-218</v>
      </c>
      <c r="K115" s="0" t="str">
        <f aca="false">"1.18"</f>
        <v>1.18</v>
      </c>
      <c r="L115" s="0" t="str">
        <f aca="false">"9.27"</f>
        <v>9.27</v>
      </c>
      <c r="M115" s="0" t="str">
        <f aca="false">"31.3"</f>
        <v>31.3</v>
      </c>
    </row>
    <row r="116" customFormat="false" ht="12.8" hidden="false" customHeight="false" outlineLevel="0" collapsed="false">
      <c r="A116" s="0" t="s">
        <v>778</v>
      </c>
      <c r="B116" s="0" t="s">
        <v>9</v>
      </c>
      <c r="C116" s="0" t="str">
        <f aca="false">"207-218"</f>
        <v>207-218</v>
      </c>
      <c r="D116" s="0" t="s">
        <v>9</v>
      </c>
      <c r="E116" s="0" t="str">
        <f aca="false">"341-352"</f>
        <v>341-352</v>
      </c>
      <c r="F116" s="0" t="s">
        <v>895</v>
      </c>
      <c r="G116" s="0" t="s">
        <v>9</v>
      </c>
      <c r="H116" s="0" t="str">
        <f aca="false">"565-576"</f>
        <v>565-576</v>
      </c>
      <c r="I116" s="0" t="s">
        <v>9</v>
      </c>
      <c r="J116" s="0" t="str">
        <f aca="false">"519-530"</f>
        <v>519-530</v>
      </c>
      <c r="K116" s="0" t="str">
        <f aca="false">"0.81"</f>
        <v>0.81</v>
      </c>
      <c r="L116" s="0" t="str">
        <f aca="false">"10.25"</f>
        <v>10.25</v>
      </c>
      <c r="M116" s="0" t="str">
        <f aca="false">"17.7"</f>
        <v>17.7</v>
      </c>
    </row>
    <row r="117" customFormat="false" ht="12.8" hidden="false" customHeight="false" outlineLevel="0" collapsed="false">
      <c r="A117" s="0" t="s">
        <v>778</v>
      </c>
      <c r="B117" s="0" t="s">
        <v>9</v>
      </c>
      <c r="C117" s="0" t="str">
        <f aca="false">"204-215"</f>
        <v>204-215</v>
      </c>
      <c r="D117" s="0" t="s">
        <v>9</v>
      </c>
      <c r="E117" s="0" t="str">
        <f aca="false">"337-348"</f>
        <v>337-348</v>
      </c>
      <c r="F117" s="0" t="s">
        <v>896</v>
      </c>
      <c r="G117" s="0" t="s">
        <v>9</v>
      </c>
      <c r="H117" s="0" t="str">
        <f aca="false">"1188-1199"</f>
        <v>1188-1199</v>
      </c>
      <c r="I117" s="0" t="s">
        <v>9</v>
      </c>
      <c r="J117" s="0" t="str">
        <f aca="false">"1141-1152"</f>
        <v>1141-1152</v>
      </c>
      <c r="K117" s="0" t="str">
        <f aca="false">"0.90"</f>
        <v>0.90</v>
      </c>
      <c r="L117" s="0" t="str">
        <f aca="false">"9.03"</f>
        <v>9.03</v>
      </c>
      <c r="M117" s="0" t="str">
        <f aca="false">"34.7"</f>
        <v>34.7</v>
      </c>
    </row>
    <row r="118" customFormat="false" ht="12.8" hidden="false" customHeight="false" outlineLevel="0" collapsed="false">
      <c r="A118" s="0" t="s">
        <v>778</v>
      </c>
      <c r="B118" s="0" t="s">
        <v>9</v>
      </c>
      <c r="C118" s="0" t="str">
        <f aca="false">"200-211"</f>
        <v>200-211</v>
      </c>
      <c r="D118" s="0" t="s">
        <v>9</v>
      </c>
      <c r="E118" s="0" t="str">
        <f aca="false">"334-345"</f>
        <v>334-345</v>
      </c>
      <c r="F118" s="0" t="s">
        <v>897</v>
      </c>
      <c r="G118" s="0" t="s">
        <v>9</v>
      </c>
      <c r="H118" s="0" t="str">
        <f aca="false">"307-318"</f>
        <v>307-318</v>
      </c>
      <c r="I118" s="0" t="s">
        <v>9</v>
      </c>
      <c r="J118" s="0" t="str">
        <f aca="false">"376-387"</f>
        <v>376-387</v>
      </c>
      <c r="K118" s="0" t="str">
        <f aca="false">"0.67"</f>
        <v>0.67</v>
      </c>
      <c r="L118" s="0" t="str">
        <f aca="false">"9.23"</f>
        <v>9.23</v>
      </c>
      <c r="M118" s="0" t="str">
        <f aca="false">"19.7"</f>
        <v>19.7</v>
      </c>
    </row>
    <row r="119" customFormat="false" ht="12.8" hidden="false" customHeight="false" outlineLevel="0" collapsed="false">
      <c r="A119" s="0" t="s">
        <v>778</v>
      </c>
      <c r="B119" s="0" t="s">
        <v>9</v>
      </c>
      <c r="C119" s="0" t="str">
        <f aca="false">"200-211"</f>
        <v>200-211</v>
      </c>
      <c r="D119" s="0" t="s">
        <v>9</v>
      </c>
      <c r="E119" s="0" t="str">
        <f aca="false">"334-345"</f>
        <v>334-345</v>
      </c>
      <c r="F119" s="0" t="s">
        <v>898</v>
      </c>
      <c r="G119" s="0" t="s">
        <v>9</v>
      </c>
      <c r="H119" s="0" t="str">
        <f aca="false">"354-365"</f>
        <v>354-365</v>
      </c>
      <c r="I119" s="0" t="s">
        <v>9</v>
      </c>
      <c r="J119" s="0" t="str">
        <f aca="false">"43-54"</f>
        <v>43-54</v>
      </c>
      <c r="K119" s="0" t="str">
        <f aca="false">"0.67"</f>
        <v>0.67</v>
      </c>
      <c r="L119" s="0" t="str">
        <f aca="false">"9.78"</f>
        <v>9.78</v>
      </c>
      <c r="M119" s="0" t="str">
        <f aca="false">"24.2"</f>
        <v>24.2</v>
      </c>
    </row>
    <row r="120" customFormat="false" ht="12.8" hidden="false" customHeight="false" outlineLevel="0" collapsed="false">
      <c r="A120" s="0" t="s">
        <v>778</v>
      </c>
      <c r="B120" s="0" t="s">
        <v>9</v>
      </c>
      <c r="C120" s="0" t="str">
        <f aca="false">"200-211"</f>
        <v>200-211</v>
      </c>
      <c r="D120" s="0" t="s">
        <v>9</v>
      </c>
      <c r="E120" s="0" t="str">
        <f aca="false">"334-345"</f>
        <v>334-345</v>
      </c>
      <c r="F120" s="0" t="s">
        <v>899</v>
      </c>
      <c r="G120" s="0" t="s">
        <v>9</v>
      </c>
      <c r="H120" s="0" t="str">
        <f aca="false">"130-141"</f>
        <v>130-141</v>
      </c>
      <c r="I120" s="0" t="s">
        <v>9</v>
      </c>
      <c r="J120" s="0" t="str">
        <f aca="false">"338-349"</f>
        <v>338-349</v>
      </c>
      <c r="K120" s="0" t="str">
        <f aca="false">"0.94"</f>
        <v>0.94</v>
      </c>
      <c r="L120" s="0" t="str">
        <f aca="false">"9.43"</f>
        <v>9.43</v>
      </c>
      <c r="M120" s="0" t="str">
        <f aca="false">"17.8"</f>
        <v>17.8</v>
      </c>
    </row>
    <row r="121" customFormat="false" ht="12.8" hidden="false" customHeight="false" outlineLevel="0" collapsed="false">
      <c r="A121" s="0" t="s">
        <v>778</v>
      </c>
      <c r="B121" s="0" t="s">
        <v>9</v>
      </c>
      <c r="C121" s="0" t="str">
        <f aca="false">"200-211"</f>
        <v>200-211</v>
      </c>
      <c r="D121" s="0" t="s">
        <v>9</v>
      </c>
      <c r="E121" s="0" t="str">
        <f aca="false">"334-345"</f>
        <v>334-345</v>
      </c>
      <c r="F121" s="0" t="s">
        <v>900</v>
      </c>
      <c r="G121" s="0" t="s">
        <v>9</v>
      </c>
      <c r="H121" s="0" t="str">
        <f aca="false">"130-141"</f>
        <v>130-141</v>
      </c>
      <c r="I121" s="0" t="s">
        <v>9</v>
      </c>
      <c r="J121" s="0" t="str">
        <f aca="false">"176-187"</f>
        <v>176-187</v>
      </c>
      <c r="K121" s="0" t="str">
        <f aca="false">"0.99"</f>
        <v>0.99</v>
      </c>
      <c r="L121" s="0" t="str">
        <f aca="false">"9.07"</f>
        <v>9.07</v>
      </c>
      <c r="M121" s="0" t="str">
        <f aca="false">"17.0"</f>
        <v>17.0</v>
      </c>
    </row>
    <row r="122" customFormat="false" ht="12.8" hidden="false" customHeight="false" outlineLevel="0" collapsed="false">
      <c r="A122" s="0" t="s">
        <v>778</v>
      </c>
      <c r="B122" s="0" t="s">
        <v>9</v>
      </c>
      <c r="C122" s="0" t="str">
        <f aca="false">"200-211"</f>
        <v>200-211</v>
      </c>
      <c r="D122" s="0" t="s">
        <v>9</v>
      </c>
      <c r="E122" s="0" t="str">
        <f aca="false">"334-345"</f>
        <v>334-345</v>
      </c>
      <c r="F122" s="0" t="s">
        <v>901</v>
      </c>
      <c r="G122" s="0" t="s">
        <v>9</v>
      </c>
      <c r="H122" s="0" t="str">
        <f aca="false">"476-487"</f>
        <v>476-487</v>
      </c>
      <c r="I122" s="0" t="s">
        <v>9</v>
      </c>
      <c r="J122" s="0" t="str">
        <f aca="false">"368-379"</f>
        <v>368-379</v>
      </c>
      <c r="K122" s="0" t="str">
        <f aca="false">"0.71"</f>
        <v>0.71</v>
      </c>
      <c r="L122" s="0" t="str">
        <f aca="false">"9.14"</f>
        <v>9.14</v>
      </c>
      <c r="M122" s="0" t="str">
        <f aca="false">"25.3"</f>
        <v>25.3</v>
      </c>
    </row>
    <row r="123" customFormat="false" ht="12.8" hidden="false" customHeight="false" outlineLevel="0" collapsed="false">
      <c r="A123" s="0" t="s">
        <v>778</v>
      </c>
      <c r="B123" s="0" t="s">
        <v>9</v>
      </c>
      <c r="C123" s="0" t="str">
        <f aca="false">"200-211"</f>
        <v>200-211</v>
      </c>
      <c r="D123" s="0" t="s">
        <v>9</v>
      </c>
      <c r="E123" s="0" t="str">
        <f aca="false">"334-345"</f>
        <v>334-345</v>
      </c>
      <c r="F123" s="0" t="s">
        <v>902</v>
      </c>
      <c r="G123" s="0" t="s">
        <v>9</v>
      </c>
      <c r="H123" s="0" t="str">
        <f aca="false">"434-445"</f>
        <v>434-445</v>
      </c>
      <c r="I123" s="0" t="s">
        <v>9</v>
      </c>
      <c r="J123" s="0" t="str">
        <f aca="false">"341-352"</f>
        <v>341-352</v>
      </c>
      <c r="K123" s="0" t="str">
        <f aca="false">"0.78"</f>
        <v>0.78</v>
      </c>
      <c r="L123" s="0" t="str">
        <f aca="false">"8.97"</f>
        <v>8.97</v>
      </c>
      <c r="M123" s="0" t="str">
        <f aca="false">"21.0"</f>
        <v>21.0</v>
      </c>
    </row>
    <row r="124" customFormat="false" ht="12.8" hidden="false" customHeight="false" outlineLevel="0" collapsed="false">
      <c r="A124" s="0" t="s">
        <v>778</v>
      </c>
      <c r="B124" s="0" t="s">
        <v>9</v>
      </c>
      <c r="C124" s="0" t="str">
        <f aca="false">"200-211"</f>
        <v>200-211</v>
      </c>
      <c r="D124" s="0" t="s">
        <v>9</v>
      </c>
      <c r="E124" s="0" t="str">
        <f aca="false">"334-345"</f>
        <v>334-345</v>
      </c>
      <c r="F124" s="0" t="s">
        <v>903</v>
      </c>
      <c r="G124" s="0" t="s">
        <v>9</v>
      </c>
      <c r="H124" s="0" t="str">
        <f aca="false">"43-54"</f>
        <v>43-54</v>
      </c>
      <c r="I124" s="0" t="s">
        <v>13</v>
      </c>
      <c r="J124" s="0" t="str">
        <f aca="false">"747-758"</f>
        <v>747-758</v>
      </c>
      <c r="K124" s="0" t="str">
        <f aca="false">"1.06"</f>
        <v>1.06</v>
      </c>
      <c r="L124" s="0" t="str">
        <f aca="false">"8.78"</f>
        <v>8.78</v>
      </c>
      <c r="M124" s="0" t="str">
        <f aca="false">"12.3"</f>
        <v>12.3</v>
      </c>
    </row>
    <row r="125" customFormat="false" ht="12.8" hidden="false" customHeight="false" outlineLevel="0" collapsed="false">
      <c r="A125" s="0" t="s">
        <v>778</v>
      </c>
      <c r="B125" s="0" t="s">
        <v>9</v>
      </c>
      <c r="C125" s="0" t="str">
        <f aca="false">"200-211"</f>
        <v>200-211</v>
      </c>
      <c r="D125" s="0" t="s">
        <v>9</v>
      </c>
      <c r="E125" s="0" t="str">
        <f aca="false">"334-345"</f>
        <v>334-345</v>
      </c>
      <c r="F125" s="0" t="s">
        <v>904</v>
      </c>
      <c r="G125" s="0" t="s">
        <v>9</v>
      </c>
      <c r="H125" s="0" t="str">
        <f aca="false">"240-251"</f>
        <v>240-251</v>
      </c>
      <c r="I125" s="0" t="s">
        <v>9</v>
      </c>
      <c r="J125" s="0" t="str">
        <f aca="false">"308-319"</f>
        <v>308-319</v>
      </c>
      <c r="K125" s="0" t="str">
        <f aca="false">"0.94"</f>
        <v>0.94</v>
      </c>
      <c r="L125" s="0" t="str">
        <f aca="false">"9.45"</f>
        <v>9.45</v>
      </c>
      <c r="M125" s="0" t="str">
        <f aca="false">"29.5"</f>
        <v>29.5</v>
      </c>
    </row>
    <row r="126" customFormat="false" ht="12.8" hidden="false" customHeight="false" outlineLevel="0" collapsed="false">
      <c r="A126" s="0" t="s">
        <v>778</v>
      </c>
      <c r="B126" s="0" t="s">
        <v>9</v>
      </c>
      <c r="C126" s="0" t="str">
        <f aca="false">"200-211"</f>
        <v>200-211</v>
      </c>
      <c r="D126" s="0" t="s">
        <v>9</v>
      </c>
      <c r="E126" s="0" t="str">
        <f aca="false">"334-345"</f>
        <v>334-345</v>
      </c>
      <c r="F126" s="0" t="s">
        <v>905</v>
      </c>
      <c r="G126" s="0" t="s">
        <v>13</v>
      </c>
      <c r="H126" s="0" t="str">
        <f aca="false">"15-26"</f>
        <v>15-26</v>
      </c>
      <c r="I126" s="0" t="s">
        <v>13</v>
      </c>
      <c r="J126" s="0" t="str">
        <f aca="false">"68-79"</f>
        <v>68-79</v>
      </c>
      <c r="K126" s="0" t="str">
        <f aca="false">"1.24"</f>
        <v>1.24</v>
      </c>
      <c r="L126" s="0" t="str">
        <f aca="false">"10.24"</f>
        <v>10.24</v>
      </c>
      <c r="M126" s="0" t="str">
        <f aca="false">"5.5"</f>
        <v>5.5</v>
      </c>
    </row>
    <row r="127" customFormat="false" ht="12.8" hidden="false" customHeight="false" outlineLevel="0" collapsed="false">
      <c r="A127" s="0" t="s">
        <v>778</v>
      </c>
      <c r="B127" s="0" t="s">
        <v>9</v>
      </c>
      <c r="C127" s="0" t="str">
        <f aca="false">"200-211"</f>
        <v>200-211</v>
      </c>
      <c r="D127" s="0" t="s">
        <v>9</v>
      </c>
      <c r="E127" s="0" t="str">
        <f aca="false">"334-345"</f>
        <v>334-345</v>
      </c>
      <c r="F127" s="0" t="s">
        <v>906</v>
      </c>
      <c r="G127" s="0" t="s">
        <v>13</v>
      </c>
      <c r="H127" s="0" t="str">
        <f aca="false">"13-24"</f>
        <v>13-24</v>
      </c>
      <c r="I127" s="0" t="s">
        <v>13</v>
      </c>
      <c r="J127" s="0" t="str">
        <f aca="false">"73-84"</f>
        <v>73-84</v>
      </c>
      <c r="K127" s="0" t="str">
        <f aca="false">"1.03"</f>
        <v>1.03</v>
      </c>
      <c r="L127" s="0" t="str">
        <f aca="false">"10.22"</f>
        <v>10.22</v>
      </c>
      <c r="M127" s="0" t="str">
        <f aca="false">"9.8"</f>
        <v>9.8</v>
      </c>
    </row>
    <row r="128" customFormat="false" ht="12.8" hidden="false" customHeight="false" outlineLevel="0" collapsed="false">
      <c r="A128" s="0" t="s">
        <v>778</v>
      </c>
      <c r="B128" s="0" t="s">
        <v>9</v>
      </c>
      <c r="C128" s="0" t="str">
        <f aca="false">"200-211"</f>
        <v>200-211</v>
      </c>
      <c r="D128" s="0" t="s">
        <v>9</v>
      </c>
      <c r="E128" s="0" t="str">
        <f aca="false">"334-345"</f>
        <v>334-345</v>
      </c>
      <c r="F128" s="0" t="s">
        <v>907</v>
      </c>
      <c r="G128" s="0" t="s">
        <v>9</v>
      </c>
      <c r="H128" s="0" t="str">
        <f aca="false">"148-159"</f>
        <v>148-159</v>
      </c>
      <c r="I128" s="0" t="s">
        <v>9</v>
      </c>
      <c r="J128" s="0" t="str">
        <f aca="false">"366-377"</f>
        <v>366-377</v>
      </c>
      <c r="K128" s="0" t="str">
        <f aca="false">"1.15"</f>
        <v>1.15</v>
      </c>
      <c r="L128" s="0" t="str">
        <f aca="false">"10.25"</f>
        <v>10.25</v>
      </c>
      <c r="M128" s="0" t="str">
        <f aca="false">"6.2"</f>
        <v>6.2</v>
      </c>
    </row>
    <row r="129" customFormat="false" ht="12.8" hidden="false" customHeight="false" outlineLevel="0" collapsed="false">
      <c r="A129" s="0" t="s">
        <v>778</v>
      </c>
      <c r="B129" s="0" t="s">
        <v>9</v>
      </c>
      <c r="C129" s="0" t="str">
        <f aca="false">"200-211"</f>
        <v>200-211</v>
      </c>
      <c r="D129" s="0" t="s">
        <v>9</v>
      </c>
      <c r="E129" s="0" t="str">
        <f aca="false">"336-347"</f>
        <v>336-347</v>
      </c>
      <c r="F129" s="0" t="s">
        <v>908</v>
      </c>
      <c r="G129" s="0" t="s">
        <v>9</v>
      </c>
      <c r="H129" s="0" t="str">
        <f aca="false">"51-62"</f>
        <v>51-62</v>
      </c>
      <c r="I129" s="0" t="s">
        <v>9</v>
      </c>
      <c r="J129" s="0" t="str">
        <f aca="false">"116-127"</f>
        <v>116-127</v>
      </c>
      <c r="K129" s="0" t="str">
        <f aca="false">"1.23"</f>
        <v>1.23</v>
      </c>
      <c r="L129" s="0" t="str">
        <f aca="false">"9.82"</f>
        <v>9.82</v>
      </c>
      <c r="M129" s="0" t="str">
        <f aca="false">"11.9"</f>
        <v>11.9</v>
      </c>
    </row>
    <row r="130" customFormat="false" ht="12.8" hidden="false" customHeight="false" outlineLevel="0" collapsed="false">
      <c r="A130" s="0" t="s">
        <v>778</v>
      </c>
      <c r="B130" s="0" t="s">
        <v>9</v>
      </c>
      <c r="C130" s="0" t="str">
        <f aca="false">"207-218"</f>
        <v>207-218</v>
      </c>
      <c r="D130" s="0" t="s">
        <v>9</v>
      </c>
      <c r="E130" s="0" t="str">
        <f aca="false">"341-352"</f>
        <v>341-352</v>
      </c>
      <c r="F130" s="0" t="s">
        <v>909</v>
      </c>
      <c r="G130" s="0" t="s">
        <v>13</v>
      </c>
      <c r="H130" s="0" t="str">
        <f aca="false">"347-358"</f>
        <v>347-358</v>
      </c>
      <c r="I130" s="0" t="s">
        <v>13</v>
      </c>
      <c r="J130" s="0" t="str">
        <f aca="false">"487-498"</f>
        <v>487-498</v>
      </c>
      <c r="K130" s="0" t="str">
        <f aca="false">"0.72"</f>
        <v>0.72</v>
      </c>
      <c r="L130" s="0" t="str">
        <f aca="false">"10.30"</f>
        <v>10.30</v>
      </c>
      <c r="M130" s="0" t="str">
        <f aca="false">"15.4"</f>
        <v>15.4</v>
      </c>
    </row>
    <row r="131" customFormat="false" ht="12.8" hidden="false" customHeight="false" outlineLevel="0" collapsed="false">
      <c r="A131" s="0" t="s">
        <v>778</v>
      </c>
      <c r="B131" s="0" t="s">
        <v>9</v>
      </c>
      <c r="C131" s="0" t="str">
        <f aca="false">"204-215"</f>
        <v>204-215</v>
      </c>
      <c r="D131" s="0" t="s">
        <v>9</v>
      </c>
      <c r="E131" s="0" t="str">
        <f aca="false">"338-349"</f>
        <v>338-349</v>
      </c>
      <c r="F131" s="0" t="s">
        <v>910</v>
      </c>
      <c r="G131" s="0" t="s">
        <v>120</v>
      </c>
      <c r="H131" s="0" t="str">
        <f aca="false">"55-66"</f>
        <v>55-66</v>
      </c>
      <c r="I131" s="0" t="s">
        <v>120</v>
      </c>
      <c r="J131" s="0" t="str">
        <f aca="false">"101-112"</f>
        <v>101-112</v>
      </c>
      <c r="K131" s="0" t="str">
        <f aca="false">"1.09"</f>
        <v>1.09</v>
      </c>
      <c r="L131" s="0" t="str">
        <f aca="false">"9.07"</f>
        <v>9.07</v>
      </c>
      <c r="M131" s="0" t="str">
        <f aca="false">"5.6"</f>
        <v>5.6</v>
      </c>
    </row>
    <row r="132" customFormat="false" ht="12.8" hidden="false" customHeight="false" outlineLevel="0" collapsed="false">
      <c r="A132" s="0" t="s">
        <v>778</v>
      </c>
      <c r="B132" s="0" t="s">
        <v>9</v>
      </c>
      <c r="C132" s="0" t="str">
        <f aca="false">"200-211"</f>
        <v>200-211</v>
      </c>
      <c r="D132" s="0" t="s">
        <v>9</v>
      </c>
      <c r="E132" s="0" t="str">
        <f aca="false">"334-345"</f>
        <v>334-345</v>
      </c>
      <c r="F132" s="0" t="s">
        <v>911</v>
      </c>
      <c r="G132" s="0" t="s">
        <v>9</v>
      </c>
      <c r="H132" s="0" t="str">
        <f aca="false">"434-445"</f>
        <v>434-445</v>
      </c>
      <c r="I132" s="0" t="s">
        <v>9</v>
      </c>
      <c r="J132" s="0" t="str">
        <f aca="false">"394-405"</f>
        <v>394-405</v>
      </c>
      <c r="K132" s="0" t="str">
        <f aca="false">"1.07"</f>
        <v>1.07</v>
      </c>
      <c r="L132" s="0" t="str">
        <f aca="false">"9.14"</f>
        <v>9.14</v>
      </c>
      <c r="M132" s="0" t="str">
        <f aca="false">"11.2"</f>
        <v>11.2</v>
      </c>
    </row>
    <row r="133" customFormat="false" ht="12.8" hidden="false" customHeight="false" outlineLevel="0" collapsed="false">
      <c r="A133" s="0" t="s">
        <v>778</v>
      </c>
      <c r="B133" s="0" t="s">
        <v>9</v>
      </c>
      <c r="C133" s="0" t="str">
        <f aca="false">"207-218"</f>
        <v>207-218</v>
      </c>
      <c r="D133" s="0" t="s">
        <v>9</v>
      </c>
      <c r="E133" s="0" t="str">
        <f aca="false">"343-354"</f>
        <v>343-354</v>
      </c>
      <c r="F133" s="0" t="s">
        <v>912</v>
      </c>
      <c r="G133" s="0" t="s">
        <v>13</v>
      </c>
      <c r="H133" s="0" t="str">
        <f aca="false">"145-156"</f>
        <v>145-156</v>
      </c>
      <c r="I133" s="0" t="s">
        <v>13</v>
      </c>
      <c r="J133" s="0" t="str">
        <f aca="false">"272-283"</f>
        <v>272-283</v>
      </c>
      <c r="K133" s="0" t="str">
        <f aca="false">"1.08"</f>
        <v>1.08</v>
      </c>
      <c r="L133" s="0" t="str">
        <f aca="false">"12.76"</f>
        <v>12.76</v>
      </c>
      <c r="M133" s="0" t="str">
        <f aca="false">"27.3"</f>
        <v>27.3</v>
      </c>
    </row>
    <row r="134" customFormat="false" ht="12.8" hidden="false" customHeight="false" outlineLevel="0" collapsed="false">
      <c r="A134" s="0" t="s">
        <v>778</v>
      </c>
      <c r="B134" s="0" t="s">
        <v>9</v>
      </c>
      <c r="C134" s="0" t="str">
        <f aca="false">"207-218"</f>
        <v>207-218</v>
      </c>
      <c r="D134" s="0" t="s">
        <v>9</v>
      </c>
      <c r="E134" s="0" t="str">
        <f aca="false">"341-352"</f>
        <v>341-352</v>
      </c>
      <c r="F134" s="0" t="s">
        <v>913</v>
      </c>
      <c r="G134" s="0" t="s">
        <v>9</v>
      </c>
      <c r="H134" s="0" t="str">
        <f aca="false">"39-50"</f>
        <v>39-50</v>
      </c>
      <c r="I134" s="0" t="s">
        <v>9</v>
      </c>
      <c r="J134" s="0" t="str">
        <f aca="false">"103-114"</f>
        <v>103-114</v>
      </c>
      <c r="K134" s="0" t="str">
        <f aca="false">"1.20"</f>
        <v>1.20</v>
      </c>
      <c r="L134" s="0" t="str">
        <f aca="false">"12.19"</f>
        <v>12.19</v>
      </c>
      <c r="M134" s="0" t="str">
        <f aca="false">"29.1"</f>
        <v>29.1</v>
      </c>
    </row>
    <row r="135" customFormat="false" ht="12.8" hidden="false" customHeight="false" outlineLevel="0" collapsed="false">
      <c r="A135" s="0" t="s">
        <v>778</v>
      </c>
      <c r="B135" s="0" t="s">
        <v>9</v>
      </c>
      <c r="C135" s="0" t="str">
        <f aca="false">"208-219"</f>
        <v>208-219</v>
      </c>
      <c r="D135" s="0" t="s">
        <v>9</v>
      </c>
      <c r="E135" s="0" t="str">
        <f aca="false">"342-353"</f>
        <v>342-353</v>
      </c>
      <c r="F135" s="0" t="s">
        <v>914</v>
      </c>
      <c r="G135" s="0" t="s">
        <v>13</v>
      </c>
      <c r="H135" s="0" t="str">
        <f aca="false">"138-149"</f>
        <v>138-149</v>
      </c>
      <c r="I135" s="0" t="s">
        <v>13</v>
      </c>
      <c r="J135" s="0" t="str">
        <f aca="false">"183-194"</f>
        <v>183-194</v>
      </c>
      <c r="K135" s="0" t="str">
        <f aca="false">"1.23"</f>
        <v>1.23</v>
      </c>
      <c r="L135" s="0" t="str">
        <f aca="false">"11.30"</f>
        <v>11.30</v>
      </c>
      <c r="M135" s="0" t="str">
        <f aca="false">"29.5"</f>
        <v>29.5</v>
      </c>
    </row>
    <row r="136" customFormat="false" ht="12.8" hidden="false" customHeight="false" outlineLevel="0" collapsed="false">
      <c r="A136" s="0" t="s">
        <v>778</v>
      </c>
      <c r="B136" s="0" t="s">
        <v>9</v>
      </c>
      <c r="C136" s="0" t="str">
        <f aca="false">"207-218"</f>
        <v>207-218</v>
      </c>
      <c r="D136" s="0" t="s">
        <v>9</v>
      </c>
      <c r="E136" s="0" t="str">
        <f aca="false">"342-353"</f>
        <v>342-353</v>
      </c>
      <c r="F136" s="0" t="s">
        <v>915</v>
      </c>
      <c r="G136" s="0" t="s">
        <v>9</v>
      </c>
      <c r="H136" s="0" t="str">
        <f aca="false">"71-82"</f>
        <v>71-82</v>
      </c>
      <c r="I136" s="0" t="s">
        <v>9</v>
      </c>
      <c r="J136" s="0" t="str">
        <f aca="false">"120-131"</f>
        <v>120-131</v>
      </c>
      <c r="K136" s="0" t="str">
        <f aca="false">"1.23"</f>
        <v>1.23</v>
      </c>
      <c r="L136" s="0" t="str">
        <f aca="false">"12.09"</f>
        <v>12.09</v>
      </c>
      <c r="M136" s="0" t="str">
        <f aca="false">"21.6"</f>
        <v>21.6</v>
      </c>
    </row>
    <row r="137" customFormat="false" ht="12.8" hidden="false" customHeight="false" outlineLevel="0" collapsed="false">
      <c r="A137" s="0" t="s">
        <v>778</v>
      </c>
      <c r="B137" s="0" t="s">
        <v>9</v>
      </c>
      <c r="C137" s="0" t="str">
        <f aca="false">"207-218"</f>
        <v>207-218</v>
      </c>
      <c r="D137" s="0" t="s">
        <v>9</v>
      </c>
      <c r="E137" s="0" t="str">
        <f aca="false">"343-354"</f>
        <v>343-354</v>
      </c>
      <c r="F137" s="0" t="s">
        <v>916</v>
      </c>
      <c r="G137" s="0" t="s">
        <v>9</v>
      </c>
      <c r="H137" s="0" t="str">
        <f aca="false">"131-142"</f>
        <v>131-142</v>
      </c>
      <c r="I137" s="0" t="s">
        <v>9</v>
      </c>
      <c r="J137" s="0" t="str">
        <f aca="false">"85-96"</f>
        <v>85-96</v>
      </c>
      <c r="K137" s="0" t="str">
        <f aca="false">"1.05"</f>
        <v>1.05</v>
      </c>
      <c r="L137" s="0" t="str">
        <f aca="false">"10.41"</f>
        <v>10.41</v>
      </c>
      <c r="M137" s="0" t="str">
        <f aca="false">"21.4"</f>
        <v>21.4</v>
      </c>
    </row>
    <row r="138" customFormat="false" ht="12.8" hidden="false" customHeight="false" outlineLevel="0" collapsed="false">
      <c r="A138" s="0" t="s">
        <v>778</v>
      </c>
      <c r="B138" s="0" t="s">
        <v>9</v>
      </c>
      <c r="C138" s="0" t="str">
        <f aca="false">"200-211"</f>
        <v>200-211</v>
      </c>
      <c r="D138" s="0" t="s">
        <v>9</v>
      </c>
      <c r="E138" s="0" t="str">
        <f aca="false">"334-345"</f>
        <v>334-345</v>
      </c>
      <c r="F138" s="0" t="s">
        <v>917</v>
      </c>
      <c r="G138" s="0" t="s">
        <v>9</v>
      </c>
      <c r="H138" s="0" t="str">
        <f aca="false">"454-465"</f>
        <v>454-465</v>
      </c>
      <c r="I138" s="0" t="s">
        <v>9</v>
      </c>
      <c r="J138" s="0" t="str">
        <f aca="false">"633-644"</f>
        <v>633-644</v>
      </c>
      <c r="K138" s="0" t="str">
        <f aca="false">"1.05"</f>
        <v>1.05</v>
      </c>
      <c r="L138" s="0" t="str">
        <f aca="false">"8.79"</f>
        <v>8.79</v>
      </c>
      <c r="M138" s="0" t="str">
        <f aca="false">"22.9"</f>
        <v>22.9</v>
      </c>
    </row>
    <row r="139" customFormat="false" ht="12.8" hidden="false" customHeight="false" outlineLevel="0" collapsed="false">
      <c r="A139" s="0" t="s">
        <v>778</v>
      </c>
      <c r="B139" s="0" t="s">
        <v>9</v>
      </c>
      <c r="C139" s="0" t="str">
        <f aca="false">"210-221"</f>
        <v>210-221</v>
      </c>
      <c r="D139" s="0" t="s">
        <v>9</v>
      </c>
      <c r="E139" s="0" t="str">
        <f aca="false">"341-352"</f>
        <v>341-352</v>
      </c>
      <c r="F139" s="0" t="s">
        <v>918</v>
      </c>
      <c r="G139" s="0" t="s">
        <v>120</v>
      </c>
      <c r="H139" s="0" t="str">
        <f aca="false">"472-483"</f>
        <v>472-483</v>
      </c>
      <c r="I139" s="0" t="s">
        <v>120</v>
      </c>
      <c r="J139" s="0" t="str">
        <f aca="false">"420-431"</f>
        <v>420-431</v>
      </c>
      <c r="K139" s="0" t="str">
        <f aca="false">"1.09"</f>
        <v>1.09</v>
      </c>
      <c r="L139" s="0" t="str">
        <f aca="false">"11.01"</f>
        <v>11.01</v>
      </c>
      <c r="M139" s="0" t="str">
        <f aca="false">"14.7"</f>
        <v>14.7</v>
      </c>
    </row>
    <row r="140" customFormat="false" ht="12.8" hidden="false" customHeight="false" outlineLevel="0" collapsed="false">
      <c r="A140" s="0" t="s">
        <v>778</v>
      </c>
      <c r="B140" s="0" t="s">
        <v>9</v>
      </c>
      <c r="C140" s="0" t="str">
        <f aca="false">"209-220"</f>
        <v>209-220</v>
      </c>
      <c r="D140" s="0" t="s">
        <v>9</v>
      </c>
      <c r="E140" s="0" t="str">
        <f aca="false">"341-352"</f>
        <v>341-352</v>
      </c>
      <c r="F140" s="0" t="s">
        <v>919</v>
      </c>
      <c r="G140" s="0" t="s">
        <v>9</v>
      </c>
      <c r="H140" s="0" t="str">
        <f aca="false">"75-86"</f>
        <v>75-86</v>
      </c>
      <c r="I140" s="0" t="s">
        <v>9</v>
      </c>
      <c r="J140" s="0" t="str">
        <f aca="false">"122-133"</f>
        <v>122-133</v>
      </c>
      <c r="K140" s="0" t="str">
        <f aca="false">"1.19"</f>
        <v>1.19</v>
      </c>
      <c r="L140" s="0" t="str">
        <f aca="false">"11.37"</f>
        <v>11.37</v>
      </c>
      <c r="M140" s="0" t="str">
        <f aca="false">"13.3"</f>
        <v>13.3</v>
      </c>
    </row>
    <row r="141" customFormat="false" ht="12.8" hidden="false" customHeight="false" outlineLevel="0" collapsed="false">
      <c r="A141" s="0" t="s">
        <v>778</v>
      </c>
      <c r="B141" s="0" t="s">
        <v>9</v>
      </c>
      <c r="C141" s="0" t="str">
        <f aca="false">"204-215"</f>
        <v>204-215</v>
      </c>
      <c r="D141" s="0" t="s">
        <v>9</v>
      </c>
      <c r="E141" s="0" t="str">
        <f aca="false">"337-348"</f>
        <v>337-348</v>
      </c>
      <c r="F141" s="0" t="s">
        <v>920</v>
      </c>
      <c r="G141" s="0" t="s">
        <v>9</v>
      </c>
      <c r="H141" s="0" t="str">
        <f aca="false">"249-260"</f>
        <v>249-260</v>
      </c>
      <c r="I141" s="0" t="s">
        <v>9</v>
      </c>
      <c r="J141" s="0" t="str">
        <f aca="false">"620-631"</f>
        <v>620-631</v>
      </c>
      <c r="K141" s="0" t="str">
        <f aca="false">"1.23"</f>
        <v>1.23</v>
      </c>
      <c r="L141" s="0" t="str">
        <f aca="false">"11.51"</f>
        <v>11.51</v>
      </c>
      <c r="M141" s="0" t="str">
        <f aca="false">"29.5"</f>
        <v>29.5</v>
      </c>
    </row>
    <row r="142" customFormat="false" ht="12.8" hidden="false" customHeight="false" outlineLevel="0" collapsed="false">
      <c r="A142" s="0" t="s">
        <v>778</v>
      </c>
      <c r="B142" s="0" t="s">
        <v>9</v>
      </c>
      <c r="C142" s="0" t="str">
        <f aca="false">"203-214"</f>
        <v>203-214</v>
      </c>
      <c r="D142" s="0" t="s">
        <v>9</v>
      </c>
      <c r="E142" s="0" t="str">
        <f aca="false">"337-348"</f>
        <v>337-348</v>
      </c>
      <c r="F142" s="0" t="s">
        <v>921</v>
      </c>
      <c r="G142" s="0" t="s">
        <v>9</v>
      </c>
      <c r="H142" s="0" t="str">
        <f aca="false">"48-59"</f>
        <v>48-59</v>
      </c>
      <c r="I142" s="0" t="s">
        <v>9</v>
      </c>
      <c r="J142" s="0" t="str">
        <f aca="false">"97-108"</f>
        <v>97-108</v>
      </c>
      <c r="K142" s="0" t="str">
        <f aca="false">"1.19"</f>
        <v>1.19</v>
      </c>
      <c r="L142" s="0" t="str">
        <f aca="false">"10.94"</f>
        <v>10.94</v>
      </c>
      <c r="M142" s="0" t="str">
        <f aca="false">"35.4"</f>
        <v>35.4</v>
      </c>
    </row>
    <row r="143" customFormat="false" ht="12.8" hidden="false" customHeight="false" outlineLevel="0" collapsed="false">
      <c r="A143" s="0" t="s">
        <v>778</v>
      </c>
      <c r="B143" s="0" t="s">
        <v>9</v>
      </c>
      <c r="C143" s="0" t="str">
        <f aca="false">"200-211"</f>
        <v>200-211</v>
      </c>
      <c r="D143" s="0" t="s">
        <v>9</v>
      </c>
      <c r="E143" s="0" t="str">
        <f aca="false">"337-348"</f>
        <v>337-348</v>
      </c>
      <c r="F143" s="0" t="s">
        <v>922</v>
      </c>
      <c r="G143" s="0" t="s">
        <v>9</v>
      </c>
      <c r="H143" s="0" t="str">
        <f aca="false">"307-318"</f>
        <v>307-318</v>
      </c>
      <c r="I143" s="0" t="s">
        <v>9</v>
      </c>
      <c r="J143" s="0" t="str">
        <f aca="false">"342-353"</f>
        <v>342-353</v>
      </c>
      <c r="K143" s="0" t="str">
        <f aca="false">"1.09"</f>
        <v>1.09</v>
      </c>
      <c r="L143" s="0" t="str">
        <f aca="false">"11.87"</f>
        <v>11.87</v>
      </c>
      <c r="M143" s="0" t="str">
        <f aca="false">"23.0"</f>
        <v>23.0</v>
      </c>
    </row>
    <row r="144" customFormat="false" ht="12.8" hidden="false" customHeight="false" outlineLevel="0" collapsed="false">
      <c r="A144" s="0" t="s">
        <v>778</v>
      </c>
      <c r="B144" s="0" t="s">
        <v>9</v>
      </c>
      <c r="C144" s="0" t="str">
        <f aca="false">"209-220"</f>
        <v>209-220</v>
      </c>
      <c r="D144" s="0" t="s">
        <v>9</v>
      </c>
      <c r="E144" s="0" t="str">
        <f aca="false">"341-352"</f>
        <v>341-352</v>
      </c>
      <c r="F144" s="0" t="s">
        <v>923</v>
      </c>
      <c r="G144" s="0" t="s">
        <v>9</v>
      </c>
      <c r="H144" s="0" t="str">
        <f aca="false">"71-82"</f>
        <v>71-82</v>
      </c>
      <c r="I144" s="0" t="s">
        <v>9</v>
      </c>
      <c r="J144" s="0" t="str">
        <f aca="false">"37-48"</f>
        <v>37-48</v>
      </c>
      <c r="K144" s="0" t="str">
        <f aca="false">"1.12"</f>
        <v>1.12</v>
      </c>
      <c r="L144" s="0" t="str">
        <f aca="false">"11.38"</f>
        <v>11.38</v>
      </c>
      <c r="M144" s="0" t="str">
        <f aca="false">"17.0"</f>
        <v>17.0</v>
      </c>
    </row>
    <row r="145" customFormat="false" ht="12.8" hidden="false" customHeight="false" outlineLevel="0" collapsed="false">
      <c r="A145" s="0" t="s">
        <v>778</v>
      </c>
      <c r="B145" s="0" t="s">
        <v>9</v>
      </c>
      <c r="C145" s="0" t="str">
        <f aca="false">"207-218"</f>
        <v>207-218</v>
      </c>
      <c r="D145" s="0" t="s">
        <v>9</v>
      </c>
      <c r="E145" s="0" t="str">
        <f aca="false">"337-348"</f>
        <v>337-348</v>
      </c>
      <c r="F145" s="0" t="s">
        <v>924</v>
      </c>
      <c r="G145" s="0" t="s">
        <v>13</v>
      </c>
      <c r="H145" s="0" t="str">
        <f aca="false">"70-81"</f>
        <v>70-81</v>
      </c>
      <c r="I145" s="0" t="s">
        <v>13</v>
      </c>
      <c r="J145" s="0" t="str">
        <f aca="false">"127-138"</f>
        <v>127-138</v>
      </c>
      <c r="K145" s="0" t="str">
        <f aca="false">"1.12"</f>
        <v>1.12</v>
      </c>
      <c r="L145" s="0" t="str">
        <f aca="false">"12.18"</f>
        <v>12.18</v>
      </c>
      <c r="M145" s="0" t="str">
        <f aca="false">"21.6"</f>
        <v>21.6</v>
      </c>
    </row>
    <row r="146" customFormat="false" ht="12.8" hidden="false" customHeight="false" outlineLevel="0" collapsed="false">
      <c r="A146" s="0" t="s">
        <v>778</v>
      </c>
      <c r="B146" s="0" t="s">
        <v>9</v>
      </c>
      <c r="C146" s="0" t="str">
        <f aca="false">"201-212"</f>
        <v>201-212</v>
      </c>
      <c r="D146" s="0" t="s">
        <v>9</v>
      </c>
      <c r="E146" s="0" t="str">
        <f aca="false">"337-348"</f>
        <v>337-348</v>
      </c>
      <c r="F146" s="0" t="s">
        <v>925</v>
      </c>
      <c r="G146" s="0" t="s">
        <v>9</v>
      </c>
      <c r="H146" s="0" t="str">
        <f aca="false">"5-16"</f>
        <v>5-16</v>
      </c>
      <c r="I146" s="0" t="s">
        <v>9</v>
      </c>
      <c r="J146" s="0" t="str">
        <f aca="false">"39-50"</f>
        <v>39-50</v>
      </c>
      <c r="K146" s="0" t="str">
        <f aca="false">"0.99"</f>
        <v>0.99</v>
      </c>
      <c r="L146" s="0" t="str">
        <f aca="false">"11.53"</f>
        <v>11.53</v>
      </c>
      <c r="M146" s="0" t="str">
        <f aca="false">"15.6"</f>
        <v>15.6</v>
      </c>
    </row>
    <row r="147" customFormat="false" ht="12.8" hidden="false" customHeight="false" outlineLevel="0" collapsed="false">
      <c r="A147" s="0" t="s">
        <v>778</v>
      </c>
      <c r="B147" s="0" t="s">
        <v>9</v>
      </c>
      <c r="C147" s="0" t="str">
        <f aca="false">"204-215"</f>
        <v>204-215</v>
      </c>
      <c r="D147" s="0" t="s">
        <v>9</v>
      </c>
      <c r="E147" s="0" t="str">
        <f aca="false">"337-348"</f>
        <v>337-348</v>
      </c>
      <c r="F147" s="0" t="s">
        <v>926</v>
      </c>
      <c r="G147" s="0" t="s">
        <v>13</v>
      </c>
      <c r="H147" s="0" t="str">
        <f aca="false">"143-154"</f>
        <v>143-154</v>
      </c>
      <c r="I147" s="0" t="s">
        <v>13</v>
      </c>
      <c r="J147" s="0" t="str">
        <f aca="false">"353-364"</f>
        <v>353-364</v>
      </c>
      <c r="K147" s="0" t="str">
        <f aca="false">"0.93"</f>
        <v>0.93</v>
      </c>
      <c r="L147" s="0" t="str">
        <f aca="false">"10.45"</f>
        <v>10.45</v>
      </c>
      <c r="M147" s="0" t="str">
        <f aca="false">"24.7"</f>
        <v>24.7</v>
      </c>
    </row>
    <row r="148" customFormat="false" ht="12.8" hidden="false" customHeight="false" outlineLevel="0" collapsed="false">
      <c r="A148" s="0" t="s">
        <v>778</v>
      </c>
      <c r="B148" s="0" t="s">
        <v>9</v>
      </c>
      <c r="C148" s="0" t="str">
        <f aca="false">"206-217"</f>
        <v>206-217</v>
      </c>
      <c r="D148" s="0" t="s">
        <v>9</v>
      </c>
      <c r="E148" s="0" t="str">
        <f aca="false">"343-354"</f>
        <v>343-354</v>
      </c>
      <c r="F148" s="0" t="s">
        <v>927</v>
      </c>
      <c r="G148" s="0" t="s">
        <v>9</v>
      </c>
      <c r="H148" s="0" t="str">
        <f aca="false">"414-425"</f>
        <v>414-425</v>
      </c>
      <c r="I148" s="0" t="s">
        <v>9</v>
      </c>
      <c r="J148" s="0" t="str">
        <f aca="false">"152-163"</f>
        <v>152-163</v>
      </c>
      <c r="K148" s="0" t="str">
        <f aca="false">"1.25"</f>
        <v>1.25</v>
      </c>
      <c r="L148" s="0" t="str">
        <f aca="false">"12.82"</f>
        <v>12.82</v>
      </c>
      <c r="M148" s="0" t="str">
        <f aca="false">"31.6"</f>
        <v>31.6</v>
      </c>
    </row>
    <row r="149" customFormat="false" ht="12.8" hidden="false" customHeight="false" outlineLevel="0" collapsed="false">
      <c r="A149" s="0" t="s">
        <v>778</v>
      </c>
      <c r="B149" s="0" t="s">
        <v>9</v>
      </c>
      <c r="C149" s="0" t="str">
        <f aca="false">"204-215"</f>
        <v>204-215</v>
      </c>
      <c r="D149" s="0" t="s">
        <v>9</v>
      </c>
      <c r="E149" s="0" t="str">
        <f aca="false">"337-348"</f>
        <v>337-348</v>
      </c>
      <c r="F149" s="0" t="s">
        <v>928</v>
      </c>
      <c r="G149" s="0" t="s">
        <v>120</v>
      </c>
      <c r="H149" s="0" t="str">
        <f aca="false">"381-392"</f>
        <v>381-392</v>
      </c>
      <c r="I149" s="0" t="s">
        <v>120</v>
      </c>
      <c r="J149" s="0" t="str">
        <f aca="false">"305-316"</f>
        <v>305-316</v>
      </c>
      <c r="K149" s="0" t="str">
        <f aca="false">"1.17"</f>
        <v>1.17</v>
      </c>
      <c r="L149" s="0" t="str">
        <f aca="false">"9.95"</f>
        <v>9.95</v>
      </c>
      <c r="M149" s="0" t="str">
        <f aca="false">"8.5"</f>
        <v>8.5</v>
      </c>
    </row>
    <row r="150" customFormat="false" ht="12.8" hidden="false" customHeight="false" outlineLevel="0" collapsed="false">
      <c r="A150" s="0" t="s">
        <v>778</v>
      </c>
      <c r="B150" s="0" t="s">
        <v>9</v>
      </c>
      <c r="C150" s="0" t="str">
        <f aca="false">"204-215"</f>
        <v>204-215</v>
      </c>
      <c r="D150" s="0" t="s">
        <v>9</v>
      </c>
      <c r="E150" s="0" t="str">
        <f aca="false">"334-345"</f>
        <v>334-345</v>
      </c>
      <c r="F150" s="0" t="s">
        <v>929</v>
      </c>
      <c r="G150" s="0" t="s">
        <v>9</v>
      </c>
      <c r="H150" s="0" t="str">
        <f aca="false">"618-629"</f>
        <v>618-629</v>
      </c>
      <c r="I150" s="0" t="s">
        <v>9</v>
      </c>
      <c r="J150" s="0" t="str">
        <f aca="false">"572-583"</f>
        <v>572-583</v>
      </c>
      <c r="K150" s="0" t="str">
        <f aca="false">"1.16"</f>
        <v>1.16</v>
      </c>
      <c r="L150" s="0" t="str">
        <f aca="false">"10.80"</f>
        <v>10.80</v>
      </c>
      <c r="M150" s="0" t="str">
        <f aca="false">"29.0"</f>
        <v>29.0</v>
      </c>
    </row>
    <row r="151" customFormat="false" ht="12.8" hidden="false" customHeight="false" outlineLevel="0" collapsed="false">
      <c r="A151" s="0" t="s">
        <v>778</v>
      </c>
      <c r="B151" s="0" t="s">
        <v>9</v>
      </c>
      <c r="C151" s="0" t="str">
        <f aca="false">"208-219"</f>
        <v>208-219</v>
      </c>
      <c r="D151" s="0" t="s">
        <v>9</v>
      </c>
      <c r="E151" s="0" t="str">
        <f aca="false">"341-352"</f>
        <v>341-352</v>
      </c>
      <c r="F151" s="0" t="s">
        <v>930</v>
      </c>
      <c r="G151" s="0" t="s">
        <v>9</v>
      </c>
      <c r="H151" s="0" t="str">
        <f aca="false">"146-157"</f>
        <v>146-157</v>
      </c>
      <c r="I151" s="0" t="s">
        <v>9</v>
      </c>
      <c r="J151" s="0" t="str">
        <f aca="false">"46-57"</f>
        <v>46-57</v>
      </c>
      <c r="K151" s="0" t="str">
        <f aca="false">"1.07"</f>
        <v>1.07</v>
      </c>
      <c r="L151" s="0" t="str">
        <f aca="false">"11.03"</f>
        <v>11.03</v>
      </c>
      <c r="M151" s="0" t="str">
        <f aca="false">"25.9"</f>
        <v>25.9</v>
      </c>
    </row>
    <row r="152" customFormat="false" ht="12.8" hidden="false" customHeight="false" outlineLevel="0" collapsed="false">
      <c r="A152" s="0" t="s">
        <v>778</v>
      </c>
      <c r="B152" s="0" t="s">
        <v>9</v>
      </c>
      <c r="C152" s="0" t="str">
        <f aca="false">"203-214"</f>
        <v>203-214</v>
      </c>
      <c r="D152" s="0" t="s">
        <v>9</v>
      </c>
      <c r="E152" s="0" t="str">
        <f aca="false">"338-349"</f>
        <v>338-349</v>
      </c>
      <c r="F152" s="0" t="s">
        <v>931</v>
      </c>
      <c r="G152" s="0" t="s">
        <v>9</v>
      </c>
      <c r="H152" s="0" t="str">
        <f aca="false">"267-278"</f>
        <v>267-278</v>
      </c>
      <c r="I152" s="0" t="s">
        <v>9</v>
      </c>
      <c r="J152" s="0" t="str">
        <f aca="false">"311-322"</f>
        <v>311-322</v>
      </c>
      <c r="K152" s="0" t="str">
        <f aca="false">"0.93"</f>
        <v>0.93</v>
      </c>
      <c r="L152" s="0" t="str">
        <f aca="false">"9.95"</f>
        <v>9.95</v>
      </c>
      <c r="M152" s="0" t="str">
        <f aca="false">"29.6"</f>
        <v>29.6</v>
      </c>
    </row>
    <row r="153" customFormat="false" ht="12.8" hidden="false" customHeight="false" outlineLevel="0" collapsed="false">
      <c r="A153" s="0" t="s">
        <v>778</v>
      </c>
      <c r="B153" s="0" t="s">
        <v>9</v>
      </c>
      <c r="C153" s="0" t="str">
        <f aca="false">"201-212"</f>
        <v>201-212</v>
      </c>
      <c r="D153" s="0" t="s">
        <v>9</v>
      </c>
      <c r="E153" s="0" t="str">
        <f aca="false">"337-348"</f>
        <v>337-348</v>
      </c>
      <c r="F153" s="0" t="s">
        <v>932</v>
      </c>
      <c r="G153" s="0" t="s">
        <v>9</v>
      </c>
      <c r="H153" s="0" t="str">
        <f aca="false">"39-50"</f>
        <v>39-50</v>
      </c>
      <c r="I153" s="0" t="s">
        <v>9</v>
      </c>
      <c r="J153" s="0" t="str">
        <f aca="false">"73-84"</f>
        <v>73-84</v>
      </c>
      <c r="K153" s="0" t="str">
        <f aca="false">"0.99"</f>
        <v>0.99</v>
      </c>
      <c r="L153" s="0" t="str">
        <f aca="false">"10.39"</f>
        <v>10.39</v>
      </c>
      <c r="M153" s="0" t="str">
        <f aca="false">"23.6"</f>
        <v>23.6</v>
      </c>
    </row>
    <row r="154" customFormat="false" ht="12.8" hidden="false" customHeight="false" outlineLevel="0" collapsed="false">
      <c r="A154" s="0" t="s">
        <v>778</v>
      </c>
      <c r="B154" s="0" t="s">
        <v>9</v>
      </c>
      <c r="C154" s="0" t="str">
        <f aca="false">"207-218"</f>
        <v>207-218</v>
      </c>
      <c r="D154" s="0" t="s">
        <v>9</v>
      </c>
      <c r="E154" s="0" t="str">
        <f aca="false">"338-349"</f>
        <v>338-349</v>
      </c>
      <c r="F154" s="0" t="s">
        <v>933</v>
      </c>
      <c r="G154" s="0" t="s">
        <v>9</v>
      </c>
      <c r="H154" s="0" t="str">
        <f aca="false">"231-242"</f>
        <v>231-242</v>
      </c>
      <c r="I154" s="0" t="s">
        <v>9</v>
      </c>
      <c r="J154" s="0" t="str">
        <f aca="false">"17-28"</f>
        <v>17-28</v>
      </c>
      <c r="K154" s="0" t="str">
        <f aca="false">"0.92"</f>
        <v>0.92</v>
      </c>
      <c r="L154" s="0" t="str">
        <f aca="false">"9.67"</f>
        <v>9.67</v>
      </c>
      <c r="M154" s="0" t="str">
        <f aca="false">"24.3"</f>
        <v>24.3</v>
      </c>
    </row>
    <row r="155" customFormat="false" ht="12.8" hidden="false" customHeight="false" outlineLevel="0" collapsed="false">
      <c r="A155" s="0" t="s">
        <v>778</v>
      </c>
      <c r="B155" s="0" t="s">
        <v>9</v>
      </c>
      <c r="C155" s="0" t="str">
        <f aca="false">"207-218"</f>
        <v>207-218</v>
      </c>
      <c r="D155" s="0" t="s">
        <v>9</v>
      </c>
      <c r="E155" s="0" t="str">
        <f aca="false">"338-349"</f>
        <v>338-349</v>
      </c>
      <c r="F155" s="0" t="s">
        <v>934</v>
      </c>
      <c r="G155" s="0" t="s">
        <v>9</v>
      </c>
      <c r="H155" s="0" t="str">
        <f aca="false">"114-125"</f>
        <v>114-125</v>
      </c>
      <c r="I155" s="0" t="s">
        <v>9</v>
      </c>
      <c r="J155" s="0" t="str">
        <f aca="false">"62-73"</f>
        <v>62-73</v>
      </c>
      <c r="K155" s="0" t="str">
        <f aca="false">"1.10"</f>
        <v>1.10</v>
      </c>
      <c r="L155" s="0" t="str">
        <f aca="false">"11.24"</f>
        <v>11.24</v>
      </c>
      <c r="M155" s="0" t="str">
        <f aca="false">"38.1"</f>
        <v>38.1</v>
      </c>
    </row>
    <row r="156" customFormat="false" ht="12.8" hidden="false" customHeight="false" outlineLevel="0" collapsed="false">
      <c r="A156" s="0" t="s">
        <v>778</v>
      </c>
      <c r="B156" s="0" t="s">
        <v>9</v>
      </c>
      <c r="C156" s="0" t="str">
        <f aca="false">"207-218"</f>
        <v>207-218</v>
      </c>
      <c r="D156" s="0" t="s">
        <v>9</v>
      </c>
      <c r="E156" s="0" t="str">
        <f aca="false">"338-349"</f>
        <v>338-349</v>
      </c>
      <c r="F156" s="0" t="s">
        <v>935</v>
      </c>
      <c r="G156" s="0" t="s">
        <v>13</v>
      </c>
      <c r="H156" s="0" t="str">
        <f aca="false">"650-661"</f>
        <v>650-661</v>
      </c>
      <c r="I156" s="0" t="s">
        <v>13</v>
      </c>
      <c r="J156" s="0" t="str">
        <f aca="false">"703-714"</f>
        <v>703-714</v>
      </c>
      <c r="K156" s="0" t="str">
        <f aca="false">"0.99"</f>
        <v>0.99</v>
      </c>
      <c r="L156" s="0" t="str">
        <f aca="false">"9.54"</f>
        <v>9.54</v>
      </c>
      <c r="M156" s="0" t="str">
        <f aca="false">"33.1"</f>
        <v>33.1</v>
      </c>
    </row>
    <row r="157" customFormat="false" ht="12.8" hidden="false" customHeight="false" outlineLevel="0" collapsed="false">
      <c r="A157" s="0" t="s">
        <v>778</v>
      </c>
      <c r="B157" s="0" t="s">
        <v>9</v>
      </c>
      <c r="C157" s="0" t="str">
        <f aca="false">"203-214"</f>
        <v>203-214</v>
      </c>
      <c r="D157" s="0" t="s">
        <v>9</v>
      </c>
      <c r="E157" s="0" t="str">
        <f aca="false">"337-348"</f>
        <v>337-348</v>
      </c>
      <c r="F157" s="0" t="s">
        <v>936</v>
      </c>
      <c r="G157" s="0" t="s">
        <v>9</v>
      </c>
      <c r="H157" s="0" t="str">
        <f aca="false">"371-382"</f>
        <v>371-382</v>
      </c>
      <c r="I157" s="0" t="s">
        <v>9</v>
      </c>
      <c r="J157" s="0" t="str">
        <f aca="false">"95-106"</f>
        <v>95-106</v>
      </c>
      <c r="K157" s="0" t="str">
        <f aca="false">"1.16"</f>
        <v>1.16</v>
      </c>
      <c r="L157" s="0" t="str">
        <f aca="false">"10.82"</f>
        <v>10.82</v>
      </c>
      <c r="M157" s="0" t="str">
        <f aca="false">"33.3"</f>
        <v>33.3</v>
      </c>
    </row>
    <row r="158" customFormat="false" ht="12.8" hidden="false" customHeight="false" outlineLevel="0" collapsed="false">
      <c r="A158" s="0" t="s">
        <v>778</v>
      </c>
      <c r="B158" s="0" t="s">
        <v>9</v>
      </c>
      <c r="C158" s="0" t="str">
        <f aca="false">"200-211"</f>
        <v>200-211</v>
      </c>
      <c r="D158" s="0" t="s">
        <v>9</v>
      </c>
      <c r="E158" s="0" t="str">
        <f aca="false">"334-345"</f>
        <v>334-345</v>
      </c>
      <c r="F158" s="0" t="s">
        <v>937</v>
      </c>
      <c r="G158" s="0" t="s">
        <v>13</v>
      </c>
      <c r="H158" s="0" t="str">
        <f aca="false">"432-443"</f>
        <v>432-443</v>
      </c>
      <c r="I158" s="0" t="s">
        <v>13</v>
      </c>
      <c r="J158" s="0" t="str">
        <f aca="false">"338-349"</f>
        <v>338-349</v>
      </c>
      <c r="K158" s="0" t="str">
        <f aca="false">"0.61"</f>
        <v>0.61</v>
      </c>
      <c r="L158" s="0" t="str">
        <f aca="false">"9.78"</f>
        <v>9.78</v>
      </c>
      <c r="M158" s="0" t="str">
        <f aca="false">"16.5"</f>
        <v>16.5</v>
      </c>
    </row>
    <row r="159" customFormat="false" ht="12.8" hidden="false" customHeight="false" outlineLevel="0" collapsed="false">
      <c r="A159" s="0" t="s">
        <v>778</v>
      </c>
      <c r="B159" s="0" t="s">
        <v>9</v>
      </c>
      <c r="C159" s="0" t="str">
        <f aca="false">"204-215"</f>
        <v>204-215</v>
      </c>
      <c r="D159" s="0" t="s">
        <v>9</v>
      </c>
      <c r="E159" s="0" t="str">
        <f aca="false">"334-345"</f>
        <v>334-345</v>
      </c>
      <c r="F159" s="0" t="s">
        <v>938</v>
      </c>
      <c r="G159" s="0" t="s">
        <v>9</v>
      </c>
      <c r="H159" s="0" t="str">
        <f aca="false">"182-193"</f>
        <v>182-193</v>
      </c>
      <c r="I159" s="0" t="s">
        <v>9</v>
      </c>
      <c r="J159" s="0" t="str">
        <f aca="false">"242-253"</f>
        <v>242-253</v>
      </c>
      <c r="K159" s="0" t="str">
        <f aca="false">"0.85"</f>
        <v>0.85</v>
      </c>
      <c r="L159" s="0" t="str">
        <f aca="false">"10.07"</f>
        <v>10.07</v>
      </c>
      <c r="M159" s="0" t="str">
        <f aca="false">"29.6"</f>
        <v>29.6</v>
      </c>
    </row>
    <row r="160" customFormat="false" ht="12.8" hidden="false" customHeight="false" outlineLevel="0" collapsed="false">
      <c r="A160" s="0" t="s">
        <v>778</v>
      </c>
      <c r="B160" s="0" t="s">
        <v>9</v>
      </c>
      <c r="C160" s="0" t="str">
        <f aca="false">"207-218"</f>
        <v>207-218</v>
      </c>
      <c r="D160" s="0" t="s">
        <v>9</v>
      </c>
      <c r="E160" s="0" t="str">
        <f aca="false">"338-349"</f>
        <v>338-349</v>
      </c>
      <c r="F160" s="0" t="s">
        <v>939</v>
      </c>
      <c r="G160" s="0" t="s">
        <v>9</v>
      </c>
      <c r="H160" s="0" t="str">
        <f aca="false">"266-277"</f>
        <v>266-277</v>
      </c>
      <c r="I160" s="0" t="s">
        <v>9</v>
      </c>
      <c r="J160" s="0" t="str">
        <f aca="false">"179-190"</f>
        <v>179-190</v>
      </c>
      <c r="K160" s="0" t="str">
        <f aca="false">"1.15"</f>
        <v>1.15</v>
      </c>
      <c r="L160" s="0" t="str">
        <f aca="false">"9.34"</f>
        <v>9.34</v>
      </c>
      <c r="M160" s="0" t="str">
        <f aca="false">"41.9"</f>
        <v>41.9</v>
      </c>
    </row>
    <row r="161" customFormat="false" ht="12.8" hidden="false" customHeight="false" outlineLevel="0" collapsed="false">
      <c r="A161" s="0" t="s">
        <v>778</v>
      </c>
      <c r="B161" s="0" t="s">
        <v>9</v>
      </c>
      <c r="C161" s="0" t="str">
        <f aca="false">"204-215"</f>
        <v>204-215</v>
      </c>
      <c r="D161" s="0" t="s">
        <v>9</v>
      </c>
      <c r="E161" s="0" t="str">
        <f aca="false">"338-349"</f>
        <v>338-349</v>
      </c>
      <c r="F161" s="0" t="s">
        <v>940</v>
      </c>
      <c r="G161" s="0" t="s">
        <v>13</v>
      </c>
      <c r="H161" s="0" t="str">
        <f aca="false">"47-58"</f>
        <v>47-58</v>
      </c>
      <c r="I161" s="0" t="s">
        <v>13</v>
      </c>
      <c r="J161" s="0" t="str">
        <f aca="false">"92-103"</f>
        <v>92-103</v>
      </c>
      <c r="K161" s="0" t="str">
        <f aca="false">"0.94"</f>
        <v>0.94</v>
      </c>
      <c r="L161" s="0" t="str">
        <f aca="false">"9.50"</f>
        <v>9.50</v>
      </c>
      <c r="M161" s="0" t="str">
        <f aca="false">"32.7"</f>
        <v>32.7</v>
      </c>
    </row>
    <row r="162" customFormat="false" ht="12.8" hidden="false" customHeight="false" outlineLevel="0" collapsed="false">
      <c r="A162" s="0" t="s">
        <v>778</v>
      </c>
      <c r="B162" s="0" t="s">
        <v>9</v>
      </c>
      <c r="C162" s="0" t="str">
        <f aca="false">"200-211"</f>
        <v>200-211</v>
      </c>
      <c r="D162" s="0" t="s">
        <v>9</v>
      </c>
      <c r="E162" s="0" t="str">
        <f aca="false">"334-345"</f>
        <v>334-345</v>
      </c>
      <c r="F162" s="0" t="s">
        <v>941</v>
      </c>
      <c r="G162" s="0" t="s">
        <v>13</v>
      </c>
      <c r="H162" s="0" t="str">
        <f aca="false">"749-760"</f>
        <v>749-760</v>
      </c>
      <c r="I162" s="0" t="s">
        <v>13</v>
      </c>
      <c r="J162" s="0" t="str">
        <f aca="false">"803-814"</f>
        <v>803-814</v>
      </c>
      <c r="K162" s="0" t="str">
        <f aca="false">"0.93"</f>
        <v>0.93</v>
      </c>
      <c r="L162" s="0" t="str">
        <f aca="false">"9.83"</f>
        <v>9.83</v>
      </c>
      <c r="M162" s="0" t="str">
        <f aca="false">"31.4"</f>
        <v>31.4</v>
      </c>
    </row>
    <row r="163" customFormat="false" ht="12.8" hidden="false" customHeight="false" outlineLevel="0" collapsed="false">
      <c r="A163" s="0" t="s">
        <v>778</v>
      </c>
      <c r="B163" s="0" t="s">
        <v>9</v>
      </c>
      <c r="C163" s="0" t="str">
        <f aca="false">"204-215"</f>
        <v>204-215</v>
      </c>
      <c r="D163" s="0" t="s">
        <v>9</v>
      </c>
      <c r="E163" s="0" t="str">
        <f aca="false">"337-348"</f>
        <v>337-348</v>
      </c>
      <c r="F163" s="0" t="s">
        <v>942</v>
      </c>
      <c r="G163" s="0" t="s">
        <v>13</v>
      </c>
      <c r="H163" s="0" t="str">
        <f aca="false">"303-314"</f>
        <v>303-314</v>
      </c>
      <c r="I163" s="0" t="s">
        <v>13</v>
      </c>
      <c r="J163" s="0" t="str">
        <f aca="false">"239-250"</f>
        <v>239-250</v>
      </c>
      <c r="K163" s="0" t="str">
        <f aca="false">"1.06"</f>
        <v>1.06</v>
      </c>
      <c r="L163" s="0" t="str">
        <f aca="false">"8.60"</f>
        <v>8.60</v>
      </c>
      <c r="M163" s="0" t="str">
        <f aca="false">"32.8"</f>
        <v>32.8</v>
      </c>
    </row>
    <row r="164" customFormat="false" ht="12.8" hidden="false" customHeight="false" outlineLevel="0" collapsed="false">
      <c r="A164" s="0" t="s">
        <v>778</v>
      </c>
      <c r="B164" s="0" t="s">
        <v>9</v>
      </c>
      <c r="C164" s="0" t="str">
        <f aca="false">"200-211"</f>
        <v>200-211</v>
      </c>
      <c r="D164" s="0" t="s">
        <v>9</v>
      </c>
      <c r="E164" s="0" t="str">
        <f aca="false">"334-345"</f>
        <v>334-345</v>
      </c>
      <c r="F164" s="0" t="s">
        <v>943</v>
      </c>
      <c r="G164" s="0" t="s">
        <v>13</v>
      </c>
      <c r="H164" s="0" t="str">
        <f aca="false">"149-160"</f>
        <v>149-160</v>
      </c>
      <c r="I164" s="0" t="s">
        <v>13</v>
      </c>
      <c r="J164" s="0" t="str">
        <f aca="false">"89-100"</f>
        <v>89-100</v>
      </c>
      <c r="K164" s="0" t="str">
        <f aca="false">"0.91"</f>
        <v>0.91</v>
      </c>
      <c r="L164" s="0" t="str">
        <f aca="false">"9.70"</f>
        <v>9.70</v>
      </c>
      <c r="M164" s="0" t="str">
        <f aca="false">"12.2"</f>
        <v>12.2</v>
      </c>
    </row>
    <row r="165" customFormat="false" ht="12.8" hidden="false" customHeight="false" outlineLevel="0" collapsed="false">
      <c r="A165" s="0" t="s">
        <v>778</v>
      </c>
      <c r="B165" s="0" t="s">
        <v>9</v>
      </c>
      <c r="C165" s="0" t="str">
        <f aca="false">"207-218"</f>
        <v>207-218</v>
      </c>
      <c r="D165" s="0" t="s">
        <v>9</v>
      </c>
      <c r="E165" s="0" t="str">
        <f aca="false">"338-349"</f>
        <v>338-349</v>
      </c>
      <c r="F165" s="0" t="s">
        <v>944</v>
      </c>
      <c r="G165" s="0" t="s">
        <v>13</v>
      </c>
      <c r="H165" s="0" t="str">
        <f aca="false">"863-874"</f>
        <v>863-874</v>
      </c>
      <c r="I165" s="0" t="s">
        <v>13</v>
      </c>
      <c r="J165" s="0" t="str">
        <f aca="false">"600-611"</f>
        <v>600-611</v>
      </c>
      <c r="K165" s="0" t="str">
        <f aca="false">"1.06"</f>
        <v>1.06</v>
      </c>
      <c r="L165" s="0" t="str">
        <f aca="false">"9.08"</f>
        <v>9.08</v>
      </c>
      <c r="M165" s="0" t="str">
        <f aca="false">"35.3"</f>
        <v>35.3</v>
      </c>
    </row>
    <row r="166" customFormat="false" ht="12.8" hidden="false" customHeight="false" outlineLevel="0" collapsed="false">
      <c r="A166" s="0" t="s">
        <v>778</v>
      </c>
      <c r="B166" s="0" t="s">
        <v>9</v>
      </c>
      <c r="C166" s="0" t="str">
        <f aca="false">"201-212"</f>
        <v>201-212</v>
      </c>
      <c r="D166" s="0" t="s">
        <v>9</v>
      </c>
      <c r="E166" s="0" t="str">
        <f aca="false">"334-345"</f>
        <v>334-345</v>
      </c>
      <c r="F166" s="0" t="s">
        <v>945</v>
      </c>
      <c r="G166" s="0" t="s">
        <v>9</v>
      </c>
      <c r="H166" s="0" t="str">
        <f aca="false">"1269-1280"</f>
        <v>1269-1280</v>
      </c>
      <c r="I166" s="0" t="s">
        <v>9</v>
      </c>
      <c r="J166" s="0" t="str">
        <f aca="false">"1226-1237"</f>
        <v>1226-1237</v>
      </c>
      <c r="K166" s="0" t="str">
        <f aca="false">"1.12"</f>
        <v>1.12</v>
      </c>
      <c r="L166" s="0" t="str">
        <f aca="false">"8.12"</f>
        <v>8.12</v>
      </c>
      <c r="M166" s="0" t="str">
        <f aca="false">"28.6"</f>
        <v>28.6</v>
      </c>
    </row>
    <row r="167" customFormat="false" ht="12.8" hidden="false" customHeight="false" outlineLevel="0" collapsed="false">
      <c r="A167" s="0" t="s">
        <v>778</v>
      </c>
      <c r="B167" s="0" t="s">
        <v>9</v>
      </c>
      <c r="C167" s="0" t="str">
        <f aca="false">"204-215"</f>
        <v>204-215</v>
      </c>
      <c r="D167" s="0" t="s">
        <v>9</v>
      </c>
      <c r="E167" s="0" t="str">
        <f aca="false">"337-348"</f>
        <v>337-348</v>
      </c>
      <c r="F167" s="0" t="s">
        <v>946</v>
      </c>
      <c r="G167" s="0" t="s">
        <v>9</v>
      </c>
      <c r="H167" s="0" t="str">
        <f aca="false">"191-202"</f>
        <v>191-202</v>
      </c>
      <c r="I167" s="0" t="s">
        <v>9</v>
      </c>
      <c r="J167" s="0" t="str">
        <f aca="false">"249-260"</f>
        <v>249-260</v>
      </c>
      <c r="K167" s="0" t="str">
        <f aca="false">"0.89"</f>
        <v>0.89</v>
      </c>
      <c r="L167" s="0" t="str">
        <f aca="false">"8.51"</f>
        <v>8.51</v>
      </c>
      <c r="M167" s="0" t="str">
        <f aca="false">"22.7"</f>
        <v>22.7</v>
      </c>
    </row>
    <row r="168" customFormat="false" ht="12.8" hidden="false" customHeight="false" outlineLevel="0" collapsed="false">
      <c r="A168" s="0" t="s">
        <v>778</v>
      </c>
      <c r="B168" s="0" t="s">
        <v>9</v>
      </c>
      <c r="C168" s="0" t="str">
        <f aca="false">"204-215"</f>
        <v>204-215</v>
      </c>
      <c r="D168" s="0" t="s">
        <v>9</v>
      </c>
      <c r="E168" s="0" t="str">
        <f aca="false">"337-348"</f>
        <v>337-348</v>
      </c>
      <c r="F168" s="0" t="s">
        <v>947</v>
      </c>
      <c r="G168" s="0" t="s">
        <v>9</v>
      </c>
      <c r="H168" s="0" t="str">
        <f aca="false">"610-621"</f>
        <v>610-621</v>
      </c>
      <c r="I168" s="0" t="s">
        <v>9</v>
      </c>
      <c r="J168" s="0" t="str">
        <f aca="false">"556-567"</f>
        <v>556-567</v>
      </c>
      <c r="K168" s="0" t="str">
        <f aca="false">"1.05"</f>
        <v>1.05</v>
      </c>
      <c r="L168" s="0" t="str">
        <f aca="false">"8.62"</f>
        <v>8.62</v>
      </c>
      <c r="M168" s="0" t="str">
        <f aca="false">"24.7"</f>
        <v>24.7</v>
      </c>
    </row>
    <row r="169" customFormat="false" ht="12.8" hidden="false" customHeight="false" outlineLevel="0" collapsed="false">
      <c r="A169" s="0" t="s">
        <v>778</v>
      </c>
      <c r="B169" s="0" t="s">
        <v>9</v>
      </c>
      <c r="C169" s="0" t="str">
        <f aca="false">"206-217"</f>
        <v>206-217</v>
      </c>
      <c r="D169" s="0" t="s">
        <v>9</v>
      </c>
      <c r="E169" s="0" t="str">
        <f aca="false">"338-349"</f>
        <v>338-349</v>
      </c>
      <c r="F169" s="0" t="s">
        <v>948</v>
      </c>
      <c r="G169" s="0" t="s">
        <v>9</v>
      </c>
      <c r="H169" s="0" t="str">
        <f aca="false">"138-149"</f>
        <v>138-149</v>
      </c>
      <c r="I169" s="0" t="s">
        <v>9</v>
      </c>
      <c r="J169" s="0" t="str">
        <f aca="false">"102-113"</f>
        <v>102-113</v>
      </c>
      <c r="K169" s="0" t="str">
        <f aca="false">"1.11"</f>
        <v>1.11</v>
      </c>
      <c r="L169" s="0" t="str">
        <f aca="false">"9.33"</f>
        <v>9.33</v>
      </c>
      <c r="M169" s="0" t="str">
        <f aca="false">"36.5"</f>
        <v>36.5</v>
      </c>
    </row>
    <row r="170" customFormat="false" ht="12.8" hidden="false" customHeight="false" outlineLevel="0" collapsed="false">
      <c r="A170" s="0" t="s">
        <v>778</v>
      </c>
      <c r="B170" s="0" t="s">
        <v>9</v>
      </c>
      <c r="C170" s="0" t="str">
        <f aca="false">"204-215"</f>
        <v>204-215</v>
      </c>
      <c r="D170" s="0" t="s">
        <v>9</v>
      </c>
      <c r="E170" s="0" t="str">
        <f aca="false">"337-348"</f>
        <v>337-348</v>
      </c>
      <c r="F170" s="0" t="s">
        <v>949</v>
      </c>
      <c r="G170" s="0" t="s">
        <v>9</v>
      </c>
      <c r="H170" s="0" t="str">
        <f aca="false">"73-84"</f>
        <v>73-84</v>
      </c>
      <c r="I170" s="0" t="s">
        <v>9</v>
      </c>
      <c r="J170" s="0" t="str">
        <f aca="false">"131-142"</f>
        <v>131-142</v>
      </c>
      <c r="K170" s="0" t="str">
        <f aca="false">"0.89"</f>
        <v>0.89</v>
      </c>
      <c r="L170" s="0" t="str">
        <f aca="false">"8.56"</f>
        <v>8.56</v>
      </c>
      <c r="M170" s="0" t="str">
        <f aca="false">"19.8"</f>
        <v>19.8</v>
      </c>
    </row>
    <row r="171" customFormat="false" ht="12.8" hidden="false" customHeight="false" outlineLevel="0" collapsed="false">
      <c r="A171" s="0" t="s">
        <v>778</v>
      </c>
      <c r="B171" s="0" t="s">
        <v>9</v>
      </c>
      <c r="C171" s="0" t="str">
        <f aca="false">"204-215"</f>
        <v>204-215</v>
      </c>
      <c r="D171" s="0" t="s">
        <v>9</v>
      </c>
      <c r="E171" s="0" t="str">
        <f aca="false">"337-348"</f>
        <v>337-348</v>
      </c>
      <c r="F171" s="0" t="s">
        <v>950</v>
      </c>
      <c r="G171" s="0" t="s">
        <v>9</v>
      </c>
      <c r="H171" s="0" t="str">
        <f aca="false">"610-621"</f>
        <v>610-621</v>
      </c>
      <c r="I171" s="0" t="s">
        <v>9</v>
      </c>
      <c r="J171" s="0" t="str">
        <f aca="false">"497-508"</f>
        <v>497-508</v>
      </c>
      <c r="K171" s="0" t="str">
        <f aca="false">"0.82"</f>
        <v>0.82</v>
      </c>
      <c r="L171" s="0" t="str">
        <f aca="false">"8.39"</f>
        <v>8.39</v>
      </c>
      <c r="M171" s="0" t="str">
        <f aca="false">"24.2"</f>
        <v>24.2</v>
      </c>
    </row>
    <row r="172" customFormat="false" ht="12.8" hidden="false" customHeight="false" outlineLevel="0" collapsed="false">
      <c r="A172" s="0" t="s">
        <v>778</v>
      </c>
      <c r="B172" s="0" t="s">
        <v>9</v>
      </c>
      <c r="C172" s="0" t="str">
        <f aca="false">"204-215"</f>
        <v>204-215</v>
      </c>
      <c r="D172" s="0" t="s">
        <v>9</v>
      </c>
      <c r="E172" s="0" t="str">
        <f aca="false">"338-349"</f>
        <v>338-349</v>
      </c>
      <c r="F172" s="0" t="s">
        <v>951</v>
      </c>
      <c r="G172" s="0" t="s">
        <v>9</v>
      </c>
      <c r="H172" s="0" t="str">
        <f aca="false">"217-228"</f>
        <v>217-228</v>
      </c>
      <c r="I172" s="0" t="s">
        <v>9</v>
      </c>
      <c r="J172" s="0" t="str">
        <f aca="false">"147-158"</f>
        <v>147-158</v>
      </c>
      <c r="K172" s="0" t="str">
        <f aca="false">"0.91"</f>
        <v>0.91</v>
      </c>
      <c r="L172" s="0" t="str">
        <f aca="false">"8.59"</f>
        <v>8.59</v>
      </c>
      <c r="M172" s="0" t="str">
        <f aca="false">"32.7"</f>
        <v>32.7</v>
      </c>
    </row>
    <row r="173" customFormat="false" ht="12.8" hidden="false" customHeight="false" outlineLevel="0" collapsed="false">
      <c r="A173" s="0" t="s">
        <v>778</v>
      </c>
      <c r="B173" s="0" t="s">
        <v>9</v>
      </c>
      <c r="C173" s="0" t="str">
        <f aca="false">"201-212"</f>
        <v>201-212</v>
      </c>
      <c r="D173" s="0" t="s">
        <v>9</v>
      </c>
      <c r="E173" s="0" t="str">
        <f aca="false">"334-345"</f>
        <v>334-345</v>
      </c>
      <c r="F173" s="0" t="s">
        <v>952</v>
      </c>
      <c r="G173" s="0" t="s">
        <v>120</v>
      </c>
      <c r="H173" s="0" t="str">
        <f aca="false">"307-318"</f>
        <v>307-318</v>
      </c>
      <c r="I173" s="0" t="s">
        <v>120</v>
      </c>
      <c r="J173" s="0" t="str">
        <f aca="false">"258-269"</f>
        <v>258-269</v>
      </c>
      <c r="K173" s="0" t="str">
        <f aca="false">"0.72"</f>
        <v>0.72</v>
      </c>
      <c r="L173" s="0" t="str">
        <f aca="false">"9.11"</f>
        <v>9.11</v>
      </c>
      <c r="M173" s="0" t="str">
        <f aca="false">"19.1"</f>
        <v>19.1</v>
      </c>
    </row>
    <row r="174" customFormat="false" ht="12.8" hidden="false" customHeight="false" outlineLevel="0" collapsed="false">
      <c r="A174" s="0" t="s">
        <v>778</v>
      </c>
      <c r="B174" s="0" t="s">
        <v>9</v>
      </c>
      <c r="C174" s="0" t="str">
        <f aca="false">"200-211"</f>
        <v>200-211</v>
      </c>
      <c r="D174" s="0" t="s">
        <v>9</v>
      </c>
      <c r="E174" s="0" t="str">
        <f aca="false">"334-345"</f>
        <v>334-345</v>
      </c>
      <c r="F174" s="0" t="s">
        <v>953</v>
      </c>
      <c r="G174" s="0" t="s">
        <v>9</v>
      </c>
      <c r="H174" s="0" t="str">
        <f aca="false">"79-90"</f>
        <v>79-90</v>
      </c>
      <c r="I174" s="0" t="s">
        <v>9</v>
      </c>
      <c r="J174" s="0" t="str">
        <f aca="false">"208-219"</f>
        <v>208-219</v>
      </c>
      <c r="K174" s="0" t="str">
        <f aca="false">"0.94"</f>
        <v>0.94</v>
      </c>
      <c r="L174" s="0" t="str">
        <f aca="false">"9.09"</f>
        <v>9.09</v>
      </c>
      <c r="M174" s="0" t="str">
        <f aca="false">"10.6"</f>
        <v>10.6</v>
      </c>
    </row>
    <row r="175" customFormat="false" ht="12.8" hidden="false" customHeight="false" outlineLevel="0" collapsed="false">
      <c r="A175" s="0" t="s">
        <v>778</v>
      </c>
      <c r="B175" s="0" t="s">
        <v>9</v>
      </c>
      <c r="C175" s="0" t="str">
        <f aca="false">"204-215"</f>
        <v>204-215</v>
      </c>
      <c r="D175" s="0" t="s">
        <v>9</v>
      </c>
      <c r="E175" s="0" t="str">
        <f aca="false">"338-349"</f>
        <v>338-349</v>
      </c>
      <c r="F175" s="0" t="s">
        <v>954</v>
      </c>
      <c r="G175" s="0" t="s">
        <v>9</v>
      </c>
      <c r="H175" s="0" t="str">
        <f aca="false">"75-86"</f>
        <v>75-86</v>
      </c>
      <c r="I175" s="0" t="s">
        <v>9</v>
      </c>
      <c r="J175" s="0" t="str">
        <f aca="false">"39-50"</f>
        <v>39-50</v>
      </c>
      <c r="K175" s="0" t="str">
        <f aca="false">"0.81"</f>
        <v>0.81</v>
      </c>
      <c r="L175" s="0" t="str">
        <f aca="false">"9.02"</f>
        <v>9.02</v>
      </c>
      <c r="M175" s="0" t="str">
        <f aca="false">"24.5"</f>
        <v>24.5</v>
      </c>
    </row>
    <row r="176" customFormat="false" ht="12.8" hidden="false" customHeight="false" outlineLevel="0" collapsed="false">
      <c r="A176" s="0" t="s">
        <v>778</v>
      </c>
      <c r="B176" s="0" t="s">
        <v>9</v>
      </c>
      <c r="C176" s="0" t="str">
        <f aca="false">"204-215"</f>
        <v>204-215</v>
      </c>
      <c r="D176" s="0" t="s">
        <v>9</v>
      </c>
      <c r="E176" s="0" t="str">
        <f aca="false">"337-348"</f>
        <v>337-348</v>
      </c>
      <c r="F176" s="0" t="s">
        <v>955</v>
      </c>
      <c r="G176" s="0" t="s">
        <v>120</v>
      </c>
      <c r="H176" s="0" t="str">
        <f aca="false">"513-524"</f>
        <v>513-524</v>
      </c>
      <c r="I176" s="0" t="s">
        <v>120</v>
      </c>
      <c r="J176" s="0" t="str">
        <f aca="false">"474-485"</f>
        <v>474-485</v>
      </c>
      <c r="K176" s="0" t="str">
        <f aca="false">"0.83"</f>
        <v>0.83</v>
      </c>
      <c r="L176" s="0" t="str">
        <f aca="false">"9.38"</f>
        <v>9.38</v>
      </c>
      <c r="M176" s="0" t="str">
        <f aca="false">"14.0"</f>
        <v>14.0</v>
      </c>
    </row>
    <row r="177" customFormat="false" ht="12.8" hidden="false" customHeight="false" outlineLevel="0" collapsed="false">
      <c r="A177" s="0" t="s">
        <v>778</v>
      </c>
      <c r="B177" s="0" t="s">
        <v>9</v>
      </c>
      <c r="C177" s="0" t="str">
        <f aca="false">"204-215"</f>
        <v>204-215</v>
      </c>
      <c r="D177" s="0" t="s">
        <v>9</v>
      </c>
      <c r="E177" s="0" t="str">
        <f aca="false">"338-349"</f>
        <v>338-349</v>
      </c>
      <c r="F177" s="0" t="s">
        <v>956</v>
      </c>
      <c r="G177" s="0" t="s">
        <v>9</v>
      </c>
      <c r="H177" s="0" t="str">
        <f aca="false">"27-38"</f>
        <v>27-38</v>
      </c>
      <c r="I177" s="0" t="s">
        <v>13</v>
      </c>
      <c r="J177" s="0" t="str">
        <f aca="false">"27-38"</f>
        <v>27-38</v>
      </c>
      <c r="K177" s="0" t="str">
        <f aca="false">"0.88"</f>
        <v>0.88</v>
      </c>
      <c r="L177" s="0" t="str">
        <f aca="false">"9.34"</f>
        <v>9.34</v>
      </c>
      <c r="M177" s="0" t="str">
        <f aca="false">"31.2"</f>
        <v>31.2</v>
      </c>
    </row>
    <row r="178" customFormat="false" ht="12.8" hidden="false" customHeight="false" outlineLevel="0" collapsed="false">
      <c r="A178" s="0" t="s">
        <v>778</v>
      </c>
      <c r="B178" s="0" t="s">
        <v>9</v>
      </c>
      <c r="C178" s="0" t="str">
        <f aca="false">"204-215"</f>
        <v>204-215</v>
      </c>
      <c r="D178" s="0" t="s">
        <v>9</v>
      </c>
      <c r="E178" s="0" t="str">
        <f aca="false">"338-349"</f>
        <v>338-349</v>
      </c>
      <c r="F178" s="0" t="s">
        <v>957</v>
      </c>
      <c r="G178" s="0" t="s">
        <v>13</v>
      </c>
      <c r="H178" s="0" t="str">
        <f aca="false">"233-244"</f>
        <v>233-244</v>
      </c>
      <c r="I178" s="0" t="s">
        <v>13</v>
      </c>
      <c r="J178" s="0" t="str">
        <f aca="false">"189-200"</f>
        <v>189-200</v>
      </c>
      <c r="K178" s="0" t="str">
        <f aca="false">"1.08"</f>
        <v>1.08</v>
      </c>
      <c r="L178" s="0" t="str">
        <f aca="false">"8.69"</f>
        <v>8.69</v>
      </c>
      <c r="M178" s="0" t="str">
        <f aca="false">"22.4"</f>
        <v>22.4</v>
      </c>
    </row>
    <row r="179" customFormat="false" ht="12.8" hidden="false" customHeight="false" outlineLevel="0" collapsed="false">
      <c r="A179" s="0" t="s">
        <v>778</v>
      </c>
      <c r="B179" s="0" t="s">
        <v>9</v>
      </c>
      <c r="C179" s="0" t="str">
        <f aca="false">"204-215"</f>
        <v>204-215</v>
      </c>
      <c r="D179" s="0" t="s">
        <v>9</v>
      </c>
      <c r="E179" s="0" t="str">
        <f aca="false">"337-348"</f>
        <v>337-348</v>
      </c>
      <c r="F179" s="0" t="s">
        <v>958</v>
      </c>
      <c r="G179" s="0" t="s">
        <v>9</v>
      </c>
      <c r="H179" s="0" t="str">
        <f aca="false">"239-250"</f>
        <v>239-250</v>
      </c>
      <c r="I179" s="0" t="s">
        <v>9</v>
      </c>
      <c r="J179" s="0" t="str">
        <f aca="false">"297-308"</f>
        <v>297-308</v>
      </c>
      <c r="K179" s="0" t="str">
        <f aca="false">"0.98"</f>
        <v>0.98</v>
      </c>
      <c r="L179" s="0" t="str">
        <f aca="false">"8.47"</f>
        <v>8.47</v>
      </c>
      <c r="M179" s="0" t="str">
        <f aca="false">"19.0"</f>
        <v>19.0</v>
      </c>
    </row>
    <row r="180" customFormat="false" ht="12.8" hidden="false" customHeight="false" outlineLevel="0" collapsed="false">
      <c r="A180" s="0" t="s">
        <v>778</v>
      </c>
      <c r="B180" s="0" t="s">
        <v>9</v>
      </c>
      <c r="C180" s="0" t="str">
        <f aca="false">"200-211"</f>
        <v>200-211</v>
      </c>
      <c r="D180" s="0" t="s">
        <v>9</v>
      </c>
      <c r="E180" s="0" t="str">
        <f aca="false">"334-345"</f>
        <v>334-345</v>
      </c>
      <c r="F180" s="0" t="s">
        <v>959</v>
      </c>
      <c r="G180" s="0" t="s">
        <v>9</v>
      </c>
      <c r="H180" s="0" t="str">
        <f aca="false">"499-510"</f>
        <v>499-510</v>
      </c>
      <c r="I180" s="0" t="s">
        <v>9</v>
      </c>
      <c r="J180" s="0" t="str">
        <f aca="false">"417-428"</f>
        <v>417-428</v>
      </c>
      <c r="K180" s="0" t="str">
        <f aca="false">"1.21"</f>
        <v>1.21</v>
      </c>
      <c r="L180" s="0" t="str">
        <f aca="false">"8.40"</f>
        <v>8.40</v>
      </c>
      <c r="M180" s="0" t="str">
        <f aca="false">"25.1"</f>
        <v>25.1</v>
      </c>
    </row>
    <row r="181" customFormat="false" ht="12.8" hidden="false" customHeight="false" outlineLevel="0" collapsed="false">
      <c r="A181" s="0" t="s">
        <v>778</v>
      </c>
      <c r="B181" s="0" t="s">
        <v>9</v>
      </c>
      <c r="C181" s="0" t="str">
        <f aca="false">"200-211"</f>
        <v>200-211</v>
      </c>
      <c r="D181" s="0" t="s">
        <v>9</v>
      </c>
      <c r="E181" s="0" t="str">
        <f aca="false">"333-344"</f>
        <v>333-344</v>
      </c>
      <c r="F181" s="0" t="s">
        <v>960</v>
      </c>
      <c r="G181" s="0" t="s">
        <v>9</v>
      </c>
      <c r="H181" s="0" t="str">
        <f aca="false">"82-93"</f>
        <v>82-93</v>
      </c>
      <c r="I181" s="0" t="s">
        <v>9</v>
      </c>
      <c r="J181" s="0" t="str">
        <f aca="false">"135-146"</f>
        <v>135-146</v>
      </c>
      <c r="K181" s="0" t="str">
        <f aca="false">"1.09"</f>
        <v>1.09</v>
      </c>
      <c r="L181" s="0" t="str">
        <f aca="false">"10.35"</f>
        <v>10.35</v>
      </c>
      <c r="M181" s="0" t="str">
        <f aca="false">"17.2"</f>
        <v>17.2</v>
      </c>
    </row>
    <row r="182" customFormat="false" ht="12.8" hidden="false" customHeight="false" outlineLevel="0" collapsed="false">
      <c r="A182" s="0" t="s">
        <v>778</v>
      </c>
      <c r="B182" s="0" t="s">
        <v>9</v>
      </c>
      <c r="C182" s="0" t="str">
        <f aca="false">"204-215"</f>
        <v>204-215</v>
      </c>
      <c r="D182" s="0" t="s">
        <v>9</v>
      </c>
      <c r="E182" s="0" t="str">
        <f aca="false">"338-349"</f>
        <v>338-349</v>
      </c>
      <c r="F182" s="0" t="s">
        <v>961</v>
      </c>
      <c r="G182" s="0" t="s">
        <v>13</v>
      </c>
      <c r="H182" s="0" t="str">
        <f aca="false">"149-160"</f>
        <v>149-160</v>
      </c>
      <c r="I182" s="0" t="s">
        <v>13</v>
      </c>
      <c r="J182" s="0" t="str">
        <f aca="false">"189-200"</f>
        <v>189-200</v>
      </c>
      <c r="K182" s="0" t="str">
        <f aca="false">"1.05"</f>
        <v>1.05</v>
      </c>
      <c r="L182" s="0" t="str">
        <f aca="false">"8.48"</f>
        <v>8.48</v>
      </c>
      <c r="M182" s="0" t="str">
        <f aca="false">"16.6"</f>
        <v>16.6</v>
      </c>
    </row>
    <row r="183" customFormat="false" ht="12.8" hidden="false" customHeight="false" outlineLevel="0" collapsed="false">
      <c r="A183" s="0" t="s">
        <v>778</v>
      </c>
      <c r="B183" s="0" t="s">
        <v>9</v>
      </c>
      <c r="C183" s="0" t="str">
        <f aca="false">"204-215"</f>
        <v>204-215</v>
      </c>
      <c r="D183" s="0" t="s">
        <v>9</v>
      </c>
      <c r="E183" s="0" t="str">
        <f aca="false">"337-348"</f>
        <v>337-348</v>
      </c>
      <c r="F183" s="0" t="s">
        <v>962</v>
      </c>
      <c r="G183" s="0" t="s">
        <v>9</v>
      </c>
      <c r="H183" s="0" t="str">
        <f aca="false">"446-457"</f>
        <v>446-457</v>
      </c>
      <c r="I183" s="0" t="s">
        <v>9</v>
      </c>
      <c r="J183" s="0" t="str">
        <f aca="false">"377-388"</f>
        <v>377-388</v>
      </c>
      <c r="K183" s="0" t="str">
        <f aca="false">"0.83"</f>
        <v>0.83</v>
      </c>
      <c r="L183" s="0" t="str">
        <f aca="false">"8.83"</f>
        <v>8.83</v>
      </c>
      <c r="M183" s="0" t="str">
        <f aca="false">"19.0"</f>
        <v>19.0</v>
      </c>
    </row>
    <row r="184" customFormat="false" ht="12.8" hidden="false" customHeight="false" outlineLevel="0" collapsed="false">
      <c r="A184" s="0" t="s">
        <v>778</v>
      </c>
      <c r="B184" s="0" t="s">
        <v>9</v>
      </c>
      <c r="C184" s="0" t="str">
        <f aca="false">"204-215"</f>
        <v>204-215</v>
      </c>
      <c r="D184" s="0" t="s">
        <v>9</v>
      </c>
      <c r="E184" s="0" t="str">
        <f aca="false">"338-349"</f>
        <v>338-349</v>
      </c>
      <c r="F184" s="0" t="s">
        <v>963</v>
      </c>
      <c r="G184" s="0" t="s">
        <v>13</v>
      </c>
      <c r="H184" s="0" t="str">
        <f aca="false">"78-89"</f>
        <v>78-89</v>
      </c>
      <c r="I184" s="0" t="s">
        <v>13</v>
      </c>
      <c r="J184" s="0" t="str">
        <f aca="false">"113-124"</f>
        <v>113-124</v>
      </c>
      <c r="K184" s="0" t="str">
        <f aca="false">"1.05"</f>
        <v>1.05</v>
      </c>
      <c r="L184" s="0" t="str">
        <f aca="false">"8.62"</f>
        <v>8.62</v>
      </c>
      <c r="M184" s="0" t="str">
        <f aca="false">"7.8"</f>
        <v>7.8</v>
      </c>
    </row>
    <row r="185" customFormat="false" ht="12.8" hidden="false" customHeight="false" outlineLevel="0" collapsed="false">
      <c r="A185" s="0" t="s">
        <v>778</v>
      </c>
      <c r="B185" s="0" t="s">
        <v>9</v>
      </c>
      <c r="C185" s="0" t="str">
        <f aca="false">"204-215"</f>
        <v>204-215</v>
      </c>
      <c r="D185" s="0" t="s">
        <v>9</v>
      </c>
      <c r="E185" s="0" t="str">
        <f aca="false">"337-348"</f>
        <v>337-348</v>
      </c>
      <c r="F185" s="0" t="s">
        <v>964</v>
      </c>
      <c r="G185" s="0" t="s">
        <v>120</v>
      </c>
      <c r="H185" s="0" t="str">
        <f aca="false">"571-582"</f>
        <v>571-582</v>
      </c>
      <c r="I185" s="0" t="s">
        <v>120</v>
      </c>
      <c r="J185" s="0" t="str">
        <f aca="false">"614-625"</f>
        <v>614-625</v>
      </c>
      <c r="K185" s="0" t="str">
        <f aca="false">"0.88"</f>
        <v>0.88</v>
      </c>
      <c r="L185" s="0" t="str">
        <f aca="false">"8.52"</f>
        <v>8.52</v>
      </c>
      <c r="M185" s="0" t="str">
        <f aca="false">"18.2"</f>
        <v>18.2</v>
      </c>
    </row>
    <row r="186" customFormat="false" ht="12.8" hidden="false" customHeight="false" outlineLevel="0" collapsed="false">
      <c r="A186" s="0" t="s">
        <v>778</v>
      </c>
      <c r="B186" s="0" t="s">
        <v>9</v>
      </c>
      <c r="C186" s="0" t="str">
        <f aca="false">"200-211"</f>
        <v>200-211</v>
      </c>
      <c r="D186" s="0" t="s">
        <v>9</v>
      </c>
      <c r="E186" s="0" t="str">
        <f aca="false">"334-345"</f>
        <v>334-345</v>
      </c>
      <c r="F186" s="0" t="s">
        <v>965</v>
      </c>
      <c r="G186" s="0" t="s">
        <v>9</v>
      </c>
      <c r="H186" s="0" t="str">
        <f aca="false">"54-65"</f>
        <v>54-65</v>
      </c>
      <c r="I186" s="0" t="s">
        <v>9</v>
      </c>
      <c r="J186" s="0" t="str">
        <f aca="false">"231-242"</f>
        <v>231-242</v>
      </c>
      <c r="K186" s="0" t="str">
        <f aca="false">"0.90"</f>
        <v>0.90</v>
      </c>
      <c r="L186" s="0" t="str">
        <f aca="false">"8.68"</f>
        <v>8.68</v>
      </c>
      <c r="M186" s="0" t="str">
        <f aca="false">"8.2"</f>
        <v>8.2</v>
      </c>
    </row>
    <row r="187" customFormat="false" ht="12.8" hidden="false" customHeight="false" outlineLevel="0" collapsed="false">
      <c r="A187" s="0" t="s">
        <v>778</v>
      </c>
      <c r="B187" s="0" t="s">
        <v>9</v>
      </c>
      <c r="C187" s="0" t="str">
        <f aca="false">"204-215"</f>
        <v>204-215</v>
      </c>
      <c r="D187" s="0" t="s">
        <v>9</v>
      </c>
      <c r="E187" s="0" t="str">
        <f aca="false">"337-348"</f>
        <v>337-348</v>
      </c>
      <c r="F187" s="0" t="s">
        <v>966</v>
      </c>
      <c r="G187" s="0" t="s">
        <v>24</v>
      </c>
      <c r="H187" s="0" t="str">
        <f aca="false">"232-243"</f>
        <v>232-243</v>
      </c>
      <c r="I187" s="0" t="s">
        <v>24</v>
      </c>
      <c r="J187" s="0" t="str">
        <f aca="false">"319-330"</f>
        <v>319-330</v>
      </c>
      <c r="K187" s="0" t="str">
        <f aca="false">"1.11"</f>
        <v>1.11</v>
      </c>
      <c r="L187" s="0" t="str">
        <f aca="false">"9.38"</f>
        <v>9.38</v>
      </c>
      <c r="M187" s="0" t="str">
        <f aca="false">"17.9"</f>
        <v>17.9</v>
      </c>
    </row>
    <row r="188" customFormat="false" ht="12.8" hidden="false" customHeight="false" outlineLevel="0" collapsed="false">
      <c r="A188" s="0" t="s">
        <v>778</v>
      </c>
      <c r="B188" s="0" t="s">
        <v>9</v>
      </c>
      <c r="C188" s="0" t="str">
        <f aca="false">"201-212"</f>
        <v>201-212</v>
      </c>
      <c r="D188" s="0" t="s">
        <v>9</v>
      </c>
      <c r="E188" s="0" t="str">
        <f aca="false">"334-345"</f>
        <v>334-345</v>
      </c>
      <c r="F188" s="0" t="s">
        <v>967</v>
      </c>
      <c r="G188" s="0" t="s">
        <v>13</v>
      </c>
      <c r="H188" s="0" t="str">
        <f aca="false">"13-24"</f>
        <v>13-24</v>
      </c>
      <c r="I188" s="0" t="s">
        <v>13</v>
      </c>
      <c r="J188" s="0" t="str">
        <f aca="false">"49-60"</f>
        <v>49-60</v>
      </c>
      <c r="K188" s="0" t="str">
        <f aca="false">"0.99"</f>
        <v>0.99</v>
      </c>
      <c r="L188" s="0" t="str">
        <f aca="false">"8.96"</f>
        <v>8.96</v>
      </c>
      <c r="M188" s="0" t="str">
        <f aca="false">"25.9"</f>
        <v>25.9</v>
      </c>
    </row>
    <row r="189" customFormat="false" ht="12.8" hidden="false" customHeight="false" outlineLevel="0" collapsed="false">
      <c r="A189" s="0" t="s">
        <v>778</v>
      </c>
      <c r="B189" s="0" t="s">
        <v>9</v>
      </c>
      <c r="C189" s="0" t="str">
        <f aca="false">"204-215"</f>
        <v>204-215</v>
      </c>
      <c r="D189" s="0" t="s">
        <v>9</v>
      </c>
      <c r="E189" s="0" t="str">
        <f aca="false">"337-348"</f>
        <v>337-348</v>
      </c>
      <c r="F189" s="0" t="s">
        <v>968</v>
      </c>
      <c r="G189" s="0" t="s">
        <v>9</v>
      </c>
      <c r="H189" s="0" t="str">
        <f aca="false">"289-300"</f>
        <v>289-300</v>
      </c>
      <c r="I189" s="0" t="s">
        <v>9</v>
      </c>
      <c r="J189" s="0" t="str">
        <f aca="false">"334-345"</f>
        <v>334-345</v>
      </c>
      <c r="K189" s="0" t="str">
        <f aca="false">"1.19"</f>
        <v>1.19</v>
      </c>
      <c r="L189" s="0" t="str">
        <f aca="false">"8.52"</f>
        <v>8.52</v>
      </c>
      <c r="M189" s="0" t="str">
        <f aca="false">"30.2"</f>
        <v>30.2</v>
      </c>
    </row>
    <row r="190" customFormat="false" ht="12.8" hidden="false" customHeight="false" outlineLevel="0" collapsed="false">
      <c r="A190" s="0" t="s">
        <v>778</v>
      </c>
      <c r="B190" s="0" t="s">
        <v>9</v>
      </c>
      <c r="C190" s="0" t="str">
        <f aca="false">"201-212"</f>
        <v>201-212</v>
      </c>
      <c r="D190" s="0" t="s">
        <v>9</v>
      </c>
      <c r="E190" s="0" t="str">
        <f aca="false">"334-345"</f>
        <v>334-345</v>
      </c>
      <c r="F190" s="0" t="s">
        <v>969</v>
      </c>
      <c r="G190" s="0" t="s">
        <v>120</v>
      </c>
      <c r="H190" s="0" t="str">
        <f aca="false">"699-710"</f>
        <v>699-710</v>
      </c>
      <c r="I190" s="0" t="s">
        <v>120</v>
      </c>
      <c r="J190" s="0" t="str">
        <f aca="false">"657-668"</f>
        <v>657-668</v>
      </c>
      <c r="K190" s="0" t="str">
        <f aca="false">"1.23"</f>
        <v>1.23</v>
      </c>
      <c r="L190" s="0" t="str">
        <f aca="false">"8.41"</f>
        <v>8.41</v>
      </c>
      <c r="M190" s="0" t="str">
        <f aca="false">"15.5"</f>
        <v>15.5</v>
      </c>
    </row>
    <row r="191" customFormat="false" ht="12.8" hidden="false" customHeight="false" outlineLevel="0" collapsed="false">
      <c r="A191" s="0" t="s">
        <v>778</v>
      </c>
      <c r="B191" s="0" t="s">
        <v>9</v>
      </c>
      <c r="C191" s="0" t="str">
        <f aca="false">"200-211"</f>
        <v>200-211</v>
      </c>
      <c r="D191" s="0" t="s">
        <v>9</v>
      </c>
      <c r="E191" s="0" t="str">
        <f aca="false">"334-345"</f>
        <v>334-345</v>
      </c>
      <c r="F191" s="0" t="s">
        <v>970</v>
      </c>
      <c r="G191" s="0" t="s">
        <v>9</v>
      </c>
      <c r="H191" s="0" t="str">
        <f aca="false">"77-88"</f>
        <v>77-88</v>
      </c>
      <c r="I191" s="0" t="s">
        <v>9</v>
      </c>
      <c r="J191" s="0" t="str">
        <f aca="false">"145-156"</f>
        <v>145-156</v>
      </c>
      <c r="K191" s="0" t="str">
        <f aca="false">"1.03"</f>
        <v>1.03</v>
      </c>
      <c r="L191" s="0" t="str">
        <f aca="false">"8.65"</f>
        <v>8.65</v>
      </c>
      <c r="M191" s="0" t="str">
        <f aca="false">"20.7"</f>
        <v>20.7</v>
      </c>
    </row>
    <row r="192" customFormat="false" ht="12.8" hidden="false" customHeight="false" outlineLevel="0" collapsed="false">
      <c r="A192" s="0" t="s">
        <v>778</v>
      </c>
      <c r="B192" s="0" t="s">
        <v>9</v>
      </c>
      <c r="C192" s="0" t="str">
        <f aca="false">"210-221"</f>
        <v>210-221</v>
      </c>
      <c r="D192" s="0" t="s">
        <v>9</v>
      </c>
      <c r="E192" s="0" t="str">
        <f aca="false">"341-352"</f>
        <v>341-352</v>
      </c>
      <c r="F192" s="0" t="s">
        <v>971</v>
      </c>
      <c r="G192" s="0" t="s">
        <v>9</v>
      </c>
      <c r="H192" s="0" t="str">
        <f aca="false">"789-800"</f>
        <v>789-800</v>
      </c>
      <c r="I192" s="0" t="s">
        <v>9</v>
      </c>
      <c r="J192" s="0" t="str">
        <f aca="false">"876-887"</f>
        <v>876-887</v>
      </c>
      <c r="K192" s="0" t="str">
        <f aca="false">"0.99"</f>
        <v>0.99</v>
      </c>
      <c r="L192" s="0" t="str">
        <f aca="false">"9.29"</f>
        <v>9.29</v>
      </c>
      <c r="M192" s="0" t="str">
        <f aca="false">"11.4"</f>
        <v>11.4</v>
      </c>
    </row>
    <row r="193" customFormat="false" ht="12.8" hidden="false" customHeight="false" outlineLevel="0" collapsed="false">
      <c r="A193" s="0" t="s">
        <v>778</v>
      </c>
      <c r="B193" s="0" t="s">
        <v>9</v>
      </c>
      <c r="C193" s="0" t="str">
        <f aca="false">"208-219"</f>
        <v>208-219</v>
      </c>
      <c r="D193" s="0" t="s">
        <v>9</v>
      </c>
      <c r="E193" s="0" t="str">
        <f aca="false">"341-352"</f>
        <v>341-352</v>
      </c>
      <c r="F193" s="0" t="s">
        <v>972</v>
      </c>
      <c r="G193" s="0" t="s">
        <v>9</v>
      </c>
      <c r="H193" s="0" t="str">
        <f aca="false">"901-912"</f>
        <v>901-912</v>
      </c>
      <c r="I193" s="0" t="s">
        <v>9</v>
      </c>
      <c r="J193" s="0" t="str">
        <f aca="false">"844-855"</f>
        <v>844-855</v>
      </c>
      <c r="K193" s="0" t="str">
        <f aca="false">"1.18"</f>
        <v>1.18</v>
      </c>
      <c r="L193" s="0" t="str">
        <f aca="false">"10.74"</f>
        <v>10.74</v>
      </c>
      <c r="M193" s="0" t="str">
        <f aca="false">"13.7"</f>
        <v>13.7</v>
      </c>
    </row>
    <row r="194" customFormat="false" ht="12.8" hidden="false" customHeight="false" outlineLevel="0" collapsed="false">
      <c r="A194" s="0" t="s">
        <v>778</v>
      </c>
      <c r="B194" s="0" t="s">
        <v>9</v>
      </c>
      <c r="C194" s="0" t="str">
        <f aca="false">"204-215"</f>
        <v>204-215</v>
      </c>
      <c r="D194" s="0" t="s">
        <v>9</v>
      </c>
      <c r="E194" s="0" t="str">
        <f aca="false">"337-348"</f>
        <v>337-348</v>
      </c>
      <c r="F194" s="0" t="s">
        <v>973</v>
      </c>
      <c r="G194" s="0" t="s">
        <v>9</v>
      </c>
      <c r="H194" s="0" t="str">
        <f aca="false">"149-160"</f>
        <v>149-160</v>
      </c>
      <c r="I194" s="0" t="s">
        <v>9</v>
      </c>
      <c r="J194" s="0" t="str">
        <f aca="false">"64-75"</f>
        <v>64-75</v>
      </c>
      <c r="K194" s="0" t="str">
        <f aca="false">"0.94"</f>
        <v>0.94</v>
      </c>
      <c r="L194" s="0" t="str">
        <f aca="false">"8.16"</f>
        <v>8.16</v>
      </c>
      <c r="M194" s="0" t="str">
        <f aca="false">"25.5"</f>
        <v>25.5</v>
      </c>
    </row>
    <row r="195" customFormat="false" ht="12.8" hidden="false" customHeight="false" outlineLevel="0" collapsed="false">
      <c r="A195" s="0" t="s">
        <v>778</v>
      </c>
      <c r="B195" s="0" t="s">
        <v>9</v>
      </c>
      <c r="C195" s="0" t="str">
        <f aca="false">"200-211"</f>
        <v>200-211</v>
      </c>
      <c r="D195" s="0" t="s">
        <v>9</v>
      </c>
      <c r="E195" s="0" t="str">
        <f aca="false">"334-345"</f>
        <v>334-345</v>
      </c>
      <c r="F195" s="0" t="s">
        <v>974</v>
      </c>
      <c r="G195" s="0" t="s">
        <v>13</v>
      </c>
      <c r="H195" s="0" t="str">
        <f aca="false">"9-20"</f>
        <v>9-20</v>
      </c>
      <c r="I195" s="0" t="s">
        <v>9</v>
      </c>
      <c r="J195" s="0" t="str">
        <f aca="false">"9-20"</f>
        <v>9-20</v>
      </c>
      <c r="K195" s="0" t="str">
        <f aca="false">"1.03"</f>
        <v>1.03</v>
      </c>
      <c r="L195" s="0" t="str">
        <f aca="false">"8.53"</f>
        <v>8.53</v>
      </c>
      <c r="M195" s="0" t="str">
        <f aca="false">"19.0"</f>
        <v>19.0</v>
      </c>
    </row>
    <row r="196" customFormat="false" ht="12.8" hidden="false" customHeight="false" outlineLevel="0" collapsed="false">
      <c r="A196" s="0" t="s">
        <v>778</v>
      </c>
      <c r="B196" s="0" t="s">
        <v>9</v>
      </c>
      <c r="C196" s="0" t="str">
        <f aca="false">"202-213"</f>
        <v>202-213</v>
      </c>
      <c r="D196" s="0" t="s">
        <v>9</v>
      </c>
      <c r="E196" s="0" t="str">
        <f aca="false">"334-345"</f>
        <v>334-345</v>
      </c>
      <c r="F196" s="0" t="s">
        <v>975</v>
      </c>
      <c r="G196" s="0" t="s">
        <v>9</v>
      </c>
      <c r="H196" s="0" t="str">
        <f aca="false">"111-122"</f>
        <v>111-122</v>
      </c>
      <c r="I196" s="0" t="s">
        <v>9</v>
      </c>
      <c r="J196" s="0" t="str">
        <f aca="false">"64-75"</f>
        <v>64-75</v>
      </c>
      <c r="K196" s="0" t="str">
        <f aca="false">"0.75"</f>
        <v>0.75</v>
      </c>
      <c r="L196" s="0" t="str">
        <f aca="false">"10.73"</f>
        <v>10.73</v>
      </c>
      <c r="M196" s="0" t="str">
        <f aca="false">"16.4"</f>
        <v>16.4</v>
      </c>
    </row>
    <row r="197" customFormat="false" ht="12.8" hidden="false" customHeight="false" outlineLevel="0" collapsed="false">
      <c r="A197" s="0" t="s">
        <v>778</v>
      </c>
      <c r="B197" s="0" t="s">
        <v>9</v>
      </c>
      <c r="C197" s="0" t="str">
        <f aca="false">"200-211"</f>
        <v>200-211</v>
      </c>
      <c r="D197" s="0" t="s">
        <v>9</v>
      </c>
      <c r="E197" s="0" t="str">
        <f aca="false">"334-345"</f>
        <v>334-345</v>
      </c>
      <c r="F197" s="0" t="s">
        <v>976</v>
      </c>
      <c r="G197" s="0" t="s">
        <v>9</v>
      </c>
      <c r="H197" s="0" t="str">
        <f aca="false">"107-118"</f>
        <v>107-118</v>
      </c>
      <c r="I197" s="0" t="s">
        <v>9</v>
      </c>
      <c r="J197" s="0" t="str">
        <f aca="false">"33-44"</f>
        <v>33-44</v>
      </c>
      <c r="K197" s="0" t="str">
        <f aca="false">"0.97"</f>
        <v>0.97</v>
      </c>
      <c r="L197" s="0" t="str">
        <f aca="false">"9.12"</f>
        <v>9.12</v>
      </c>
      <c r="M197" s="0" t="str">
        <f aca="false">"10.9"</f>
        <v>10.9</v>
      </c>
    </row>
    <row r="198" customFormat="false" ht="12.8" hidden="false" customHeight="false" outlineLevel="0" collapsed="false">
      <c r="A198" s="0" t="s">
        <v>778</v>
      </c>
      <c r="B198" s="0" t="s">
        <v>9</v>
      </c>
      <c r="C198" s="0" t="str">
        <f aca="false">"200-211"</f>
        <v>200-211</v>
      </c>
      <c r="D198" s="0" t="s">
        <v>9</v>
      </c>
      <c r="E198" s="0" t="str">
        <f aca="false">"334-345"</f>
        <v>334-345</v>
      </c>
      <c r="F198" s="0" t="s">
        <v>977</v>
      </c>
      <c r="G198" s="0" t="s">
        <v>13</v>
      </c>
      <c r="H198" s="0" t="str">
        <f aca="false">"118-129"</f>
        <v>118-129</v>
      </c>
      <c r="I198" s="0" t="s">
        <v>13</v>
      </c>
      <c r="J198" s="0" t="str">
        <f aca="false">"57-68"</f>
        <v>57-68</v>
      </c>
      <c r="K198" s="0" t="str">
        <f aca="false">"1.17"</f>
        <v>1.17</v>
      </c>
      <c r="L198" s="0" t="str">
        <f aca="false">"8.05"</f>
        <v>8.05</v>
      </c>
      <c r="M198" s="0" t="str">
        <f aca="false">"30.8"</f>
        <v>30.8</v>
      </c>
    </row>
    <row r="199" customFormat="false" ht="12.8" hidden="false" customHeight="false" outlineLevel="0" collapsed="false">
      <c r="A199" s="0" t="s">
        <v>778</v>
      </c>
      <c r="B199" s="0" t="s">
        <v>9</v>
      </c>
      <c r="C199" s="0" t="str">
        <f aca="false">"200-211"</f>
        <v>200-211</v>
      </c>
      <c r="D199" s="0" t="s">
        <v>9</v>
      </c>
      <c r="E199" s="0" t="str">
        <f aca="false">"334-345"</f>
        <v>334-345</v>
      </c>
      <c r="F199" s="0" t="s">
        <v>978</v>
      </c>
      <c r="G199" s="0" t="s">
        <v>9</v>
      </c>
      <c r="H199" s="0" t="str">
        <f aca="false">"283-294"</f>
        <v>283-294</v>
      </c>
      <c r="I199" s="0" t="s">
        <v>9</v>
      </c>
      <c r="J199" s="0" t="str">
        <f aca="false">"225-236"</f>
        <v>225-236</v>
      </c>
      <c r="K199" s="0" t="str">
        <f aca="false">"1.12"</f>
        <v>1.12</v>
      </c>
      <c r="L199" s="0" t="str">
        <f aca="false">"8.56"</f>
        <v>8.56</v>
      </c>
      <c r="M199" s="0" t="str">
        <f aca="false">"25.6"</f>
        <v>25.6</v>
      </c>
    </row>
    <row r="200" customFormat="false" ht="12.8" hidden="false" customHeight="false" outlineLevel="0" collapsed="false">
      <c r="A200" s="0" t="s">
        <v>778</v>
      </c>
      <c r="B200" s="0" t="s">
        <v>9</v>
      </c>
      <c r="C200" s="0" t="str">
        <f aca="false">"200-211"</f>
        <v>200-211</v>
      </c>
      <c r="D200" s="0" t="s">
        <v>9</v>
      </c>
      <c r="E200" s="0" t="str">
        <f aca="false">"334-345"</f>
        <v>334-345</v>
      </c>
      <c r="F200" s="0" t="s">
        <v>979</v>
      </c>
      <c r="G200" s="0" t="s">
        <v>9</v>
      </c>
      <c r="H200" s="0" t="str">
        <f aca="false">"215-226"</f>
        <v>215-226</v>
      </c>
      <c r="I200" s="0" t="s">
        <v>9</v>
      </c>
      <c r="J200" s="0" t="str">
        <f aca="false">"152-163"</f>
        <v>152-163</v>
      </c>
      <c r="K200" s="0" t="str">
        <f aca="false">"0.97"</f>
        <v>0.97</v>
      </c>
      <c r="L200" s="0" t="str">
        <f aca="false">"8.44"</f>
        <v>8.44</v>
      </c>
      <c r="M200" s="0" t="str">
        <f aca="false">"18.8"</f>
        <v>18.8</v>
      </c>
    </row>
    <row r="201" customFormat="false" ht="12.8" hidden="false" customHeight="false" outlineLevel="0" collapsed="false">
      <c r="A201" s="0" t="s">
        <v>778</v>
      </c>
      <c r="B201" s="0" t="s">
        <v>9</v>
      </c>
      <c r="C201" s="0" t="str">
        <f aca="false">"204-215"</f>
        <v>204-215</v>
      </c>
      <c r="D201" s="0" t="s">
        <v>9</v>
      </c>
      <c r="E201" s="0" t="str">
        <f aca="false">"338-349"</f>
        <v>338-349</v>
      </c>
      <c r="F201" s="0" t="s">
        <v>980</v>
      </c>
      <c r="G201" s="0" t="s">
        <v>120</v>
      </c>
      <c r="H201" s="0" t="str">
        <f aca="false">"151-162"</f>
        <v>151-162</v>
      </c>
      <c r="I201" s="0" t="s">
        <v>120</v>
      </c>
      <c r="J201" s="0" t="str">
        <f aca="false">"35-46"</f>
        <v>35-46</v>
      </c>
      <c r="K201" s="0" t="str">
        <f aca="false">"1.11"</f>
        <v>1.11</v>
      </c>
      <c r="L201" s="0" t="str">
        <f aca="false">"9.25"</f>
        <v>9.25</v>
      </c>
      <c r="M201" s="0" t="str">
        <f aca="false">"27.6"</f>
        <v>27.6</v>
      </c>
    </row>
    <row r="202" customFormat="false" ht="12.8" hidden="false" customHeight="false" outlineLevel="0" collapsed="false">
      <c r="A202" s="0" t="s">
        <v>778</v>
      </c>
      <c r="B202" s="0" t="s">
        <v>9</v>
      </c>
      <c r="C202" s="0" t="str">
        <f aca="false">"203-214"</f>
        <v>203-214</v>
      </c>
      <c r="D202" s="0" t="s">
        <v>9</v>
      </c>
      <c r="E202" s="0" t="str">
        <f aca="false">"337-348"</f>
        <v>337-348</v>
      </c>
      <c r="F202" s="0" t="s">
        <v>981</v>
      </c>
      <c r="G202" s="0" t="s">
        <v>9</v>
      </c>
      <c r="H202" s="0" t="str">
        <f aca="false">"146-157"</f>
        <v>146-157</v>
      </c>
      <c r="I202" s="0" t="s">
        <v>9</v>
      </c>
      <c r="J202" s="0" t="str">
        <f aca="false">"85-96"</f>
        <v>85-96</v>
      </c>
      <c r="K202" s="0" t="str">
        <f aca="false">"1.13"</f>
        <v>1.13</v>
      </c>
      <c r="L202" s="0" t="str">
        <f aca="false">"9.03"</f>
        <v>9.03</v>
      </c>
      <c r="M202" s="0" t="str">
        <f aca="false">"14.9"</f>
        <v>14.9</v>
      </c>
    </row>
    <row r="203" customFormat="false" ht="12.8" hidden="false" customHeight="false" outlineLevel="0" collapsed="false">
      <c r="A203" s="0" t="s">
        <v>778</v>
      </c>
      <c r="B203" s="0" t="s">
        <v>9</v>
      </c>
      <c r="C203" s="0" t="str">
        <f aca="false">"207-218"</f>
        <v>207-218</v>
      </c>
      <c r="D203" s="0" t="s">
        <v>9</v>
      </c>
      <c r="E203" s="0" t="str">
        <f aca="false">"340-351"</f>
        <v>340-351</v>
      </c>
      <c r="F203" s="0" t="s">
        <v>982</v>
      </c>
      <c r="G203" s="0" t="s">
        <v>13</v>
      </c>
      <c r="H203" s="0" t="str">
        <f aca="false">"96-107"</f>
        <v>96-107</v>
      </c>
      <c r="I203" s="0" t="s">
        <v>13</v>
      </c>
      <c r="J203" s="0" t="str">
        <f aca="false">"28-39"</f>
        <v>28-39</v>
      </c>
      <c r="K203" s="0" t="str">
        <f aca="false">"0.80"</f>
        <v>0.80</v>
      </c>
      <c r="L203" s="0" t="str">
        <f aca="false">"9.90"</f>
        <v>9.90</v>
      </c>
      <c r="M203" s="0" t="str">
        <f aca="false">"25.4"</f>
        <v>25.4</v>
      </c>
    </row>
    <row r="204" customFormat="false" ht="12.8" hidden="false" customHeight="false" outlineLevel="0" collapsed="false">
      <c r="A204" s="0" t="s">
        <v>778</v>
      </c>
      <c r="B204" s="0" t="s">
        <v>9</v>
      </c>
      <c r="C204" s="0" t="str">
        <f aca="false">"200-211"</f>
        <v>200-211</v>
      </c>
      <c r="D204" s="0" t="s">
        <v>9</v>
      </c>
      <c r="E204" s="0" t="str">
        <f aca="false">"335-346"</f>
        <v>335-346</v>
      </c>
      <c r="F204" s="0" t="s">
        <v>983</v>
      </c>
      <c r="G204" s="0" t="s">
        <v>9</v>
      </c>
      <c r="H204" s="0" t="str">
        <f aca="false">"174-185"</f>
        <v>174-185</v>
      </c>
      <c r="I204" s="0" t="s">
        <v>9</v>
      </c>
      <c r="J204" s="0" t="str">
        <f aca="false">"136-147"</f>
        <v>136-147</v>
      </c>
      <c r="K204" s="0" t="str">
        <f aca="false">"1.04"</f>
        <v>1.04</v>
      </c>
      <c r="L204" s="0" t="str">
        <f aca="false">"9.00"</f>
        <v>9.00</v>
      </c>
      <c r="M204" s="0" t="str">
        <f aca="false">"27.1"</f>
        <v>27.1</v>
      </c>
    </row>
    <row r="205" customFormat="false" ht="12.8" hidden="false" customHeight="false" outlineLevel="0" collapsed="false">
      <c r="A205" s="0" t="s">
        <v>778</v>
      </c>
      <c r="B205" s="0" t="s">
        <v>9</v>
      </c>
      <c r="C205" s="0" t="str">
        <f aca="false">"200-211"</f>
        <v>200-211</v>
      </c>
      <c r="D205" s="0" t="s">
        <v>9</v>
      </c>
      <c r="E205" s="0" t="str">
        <f aca="false">"334-345"</f>
        <v>334-345</v>
      </c>
      <c r="F205" s="0" t="s">
        <v>984</v>
      </c>
      <c r="G205" s="0" t="s">
        <v>9</v>
      </c>
      <c r="H205" s="0" t="str">
        <f aca="false">"187-198"</f>
        <v>187-198</v>
      </c>
      <c r="I205" s="0" t="s">
        <v>9</v>
      </c>
      <c r="J205" s="0" t="str">
        <f aca="false">"129-140"</f>
        <v>129-140</v>
      </c>
      <c r="K205" s="0" t="str">
        <f aca="false">"1.16"</f>
        <v>1.16</v>
      </c>
      <c r="L205" s="0" t="str">
        <f aca="false">"8.26"</f>
        <v>8.26</v>
      </c>
      <c r="M205" s="0" t="str">
        <f aca="false">"31.2"</f>
        <v>31.2</v>
      </c>
    </row>
    <row r="206" customFormat="false" ht="12.8" hidden="false" customHeight="false" outlineLevel="0" collapsed="false">
      <c r="A206" s="0" t="s">
        <v>778</v>
      </c>
      <c r="B206" s="0" t="s">
        <v>9</v>
      </c>
      <c r="C206" s="0" t="str">
        <f aca="false">"208-219"</f>
        <v>208-219</v>
      </c>
      <c r="D206" s="0" t="s">
        <v>9</v>
      </c>
      <c r="E206" s="0" t="str">
        <f aca="false">"341-352"</f>
        <v>341-352</v>
      </c>
      <c r="F206" s="0" t="s">
        <v>985</v>
      </c>
      <c r="G206" s="0" t="s">
        <v>9</v>
      </c>
      <c r="H206" s="0" t="str">
        <f aca="false">"259-270"</f>
        <v>259-270</v>
      </c>
      <c r="I206" s="0" t="s">
        <v>9</v>
      </c>
      <c r="J206" s="0" t="str">
        <f aca="false">"211-222"</f>
        <v>211-222</v>
      </c>
      <c r="K206" s="0" t="str">
        <f aca="false">"0.70"</f>
        <v>0.70</v>
      </c>
      <c r="L206" s="0" t="str">
        <f aca="false">"10.00"</f>
        <v>10.00</v>
      </c>
      <c r="M206" s="0" t="str">
        <f aca="false">"28.9"</f>
        <v>28.9</v>
      </c>
    </row>
    <row r="207" customFormat="false" ht="12.8" hidden="false" customHeight="false" outlineLevel="0" collapsed="false">
      <c r="A207" s="0" t="s">
        <v>778</v>
      </c>
      <c r="B207" s="0" t="s">
        <v>9</v>
      </c>
      <c r="C207" s="0" t="str">
        <f aca="false">"208-219"</f>
        <v>208-219</v>
      </c>
      <c r="D207" s="0" t="s">
        <v>9</v>
      </c>
      <c r="E207" s="0" t="str">
        <f aca="false">"342-353"</f>
        <v>342-353</v>
      </c>
      <c r="F207" s="0" t="s">
        <v>986</v>
      </c>
      <c r="G207" s="0" t="s">
        <v>9</v>
      </c>
      <c r="H207" s="0" t="str">
        <f aca="false">"222-233"</f>
        <v>222-233</v>
      </c>
      <c r="I207" s="0" t="s">
        <v>9</v>
      </c>
      <c r="J207" s="0" t="str">
        <f aca="false">"438-449"</f>
        <v>438-449</v>
      </c>
      <c r="K207" s="0" t="str">
        <f aca="false">"0.66"</f>
        <v>0.66</v>
      </c>
      <c r="L207" s="0" t="str">
        <f aca="false">"10.43"</f>
        <v>10.43</v>
      </c>
      <c r="M207" s="0" t="str">
        <f aca="false">"33.5"</f>
        <v>33.5</v>
      </c>
    </row>
    <row r="208" customFormat="false" ht="12.8" hidden="false" customHeight="false" outlineLevel="0" collapsed="false">
      <c r="A208" s="0" t="s">
        <v>778</v>
      </c>
      <c r="B208" s="0" t="s">
        <v>9</v>
      </c>
      <c r="C208" s="0" t="str">
        <f aca="false">"200-211"</f>
        <v>200-211</v>
      </c>
      <c r="D208" s="0" t="s">
        <v>9</v>
      </c>
      <c r="E208" s="0" t="str">
        <f aca="false">"334-345"</f>
        <v>334-345</v>
      </c>
      <c r="F208" s="0" t="s">
        <v>987</v>
      </c>
      <c r="G208" s="0" t="s">
        <v>9</v>
      </c>
      <c r="H208" s="0" t="str">
        <f aca="false">"364-375"</f>
        <v>364-375</v>
      </c>
      <c r="I208" s="0" t="s">
        <v>9</v>
      </c>
      <c r="J208" s="0" t="str">
        <f aca="false">"298-309"</f>
        <v>298-309</v>
      </c>
      <c r="K208" s="0" t="str">
        <f aca="false">"1.06"</f>
        <v>1.06</v>
      </c>
      <c r="L208" s="0" t="str">
        <f aca="false">"8.18"</f>
        <v>8.18</v>
      </c>
      <c r="M208" s="0" t="str">
        <f aca="false">"22.3"</f>
        <v>22.3</v>
      </c>
    </row>
    <row r="209" customFormat="false" ht="12.8" hidden="false" customHeight="false" outlineLevel="0" collapsed="false">
      <c r="A209" s="0" t="s">
        <v>778</v>
      </c>
      <c r="B209" s="0" t="s">
        <v>9</v>
      </c>
      <c r="C209" s="0" t="str">
        <f aca="false">"204-215"</f>
        <v>204-215</v>
      </c>
      <c r="D209" s="0" t="s">
        <v>9</v>
      </c>
      <c r="E209" s="0" t="str">
        <f aca="false">"334-345"</f>
        <v>334-345</v>
      </c>
      <c r="F209" s="0" t="s">
        <v>988</v>
      </c>
      <c r="G209" s="0" t="s">
        <v>9</v>
      </c>
      <c r="H209" s="0" t="str">
        <f aca="false">"174-185"</f>
        <v>174-185</v>
      </c>
      <c r="I209" s="0" t="s">
        <v>9</v>
      </c>
      <c r="J209" s="0" t="str">
        <f aca="false">"234-245"</f>
        <v>234-245</v>
      </c>
      <c r="K209" s="0" t="str">
        <f aca="false">"0.91"</f>
        <v>0.91</v>
      </c>
      <c r="L209" s="0" t="str">
        <f aca="false">"10.35"</f>
        <v>10.35</v>
      </c>
      <c r="M209" s="0" t="str">
        <f aca="false">"26.4"</f>
        <v>26.4</v>
      </c>
    </row>
    <row r="210" customFormat="false" ht="12.8" hidden="false" customHeight="false" outlineLevel="0" collapsed="false">
      <c r="A210" s="0" t="s">
        <v>778</v>
      </c>
      <c r="B210" s="0" t="s">
        <v>9</v>
      </c>
      <c r="C210" s="0" t="str">
        <f aca="false">"210-221"</f>
        <v>210-221</v>
      </c>
      <c r="D210" s="0" t="s">
        <v>9</v>
      </c>
      <c r="E210" s="0" t="str">
        <f aca="false">"341-352"</f>
        <v>341-352</v>
      </c>
      <c r="F210" s="0" t="s">
        <v>989</v>
      </c>
      <c r="G210" s="0" t="s">
        <v>9</v>
      </c>
      <c r="H210" s="0" t="str">
        <f aca="false">"154-165"</f>
        <v>154-165</v>
      </c>
      <c r="I210" s="0" t="s">
        <v>9</v>
      </c>
      <c r="J210" s="0" t="str">
        <f aca="false">"82-93"</f>
        <v>82-93</v>
      </c>
      <c r="K210" s="0" t="str">
        <f aca="false">"0.84"</f>
        <v>0.84</v>
      </c>
      <c r="L210" s="0" t="str">
        <f aca="false">"10.11"</f>
        <v>10.11</v>
      </c>
      <c r="M210" s="0" t="str">
        <f aca="false">"16.8"</f>
        <v>16.8</v>
      </c>
    </row>
    <row r="211" customFormat="false" ht="12.8" hidden="false" customHeight="false" outlineLevel="0" collapsed="false">
      <c r="A211" s="0" t="s">
        <v>778</v>
      </c>
      <c r="B211" s="0" t="s">
        <v>9</v>
      </c>
      <c r="C211" s="0" t="str">
        <f aca="false">"204-215"</f>
        <v>204-215</v>
      </c>
      <c r="D211" s="0" t="s">
        <v>9</v>
      </c>
      <c r="E211" s="0" t="str">
        <f aca="false">"334-345"</f>
        <v>334-345</v>
      </c>
      <c r="F211" s="0" t="s">
        <v>990</v>
      </c>
      <c r="G211" s="0" t="s">
        <v>13</v>
      </c>
      <c r="H211" s="0" t="str">
        <f aca="false">"14-25"</f>
        <v>14-25</v>
      </c>
      <c r="I211" s="0" t="s">
        <v>13</v>
      </c>
      <c r="J211" s="0" t="str">
        <f aca="false">"214-225"</f>
        <v>214-225</v>
      </c>
      <c r="K211" s="0" t="str">
        <f aca="false">"1.16"</f>
        <v>1.16</v>
      </c>
      <c r="L211" s="0" t="str">
        <f aca="false">"10.56"</f>
        <v>10.56</v>
      </c>
      <c r="M211" s="0" t="str">
        <f aca="false">"32.4"</f>
        <v>32.4</v>
      </c>
    </row>
    <row r="212" customFormat="false" ht="12.8" hidden="false" customHeight="false" outlineLevel="0" collapsed="false">
      <c r="A212" s="0" t="s">
        <v>778</v>
      </c>
      <c r="B212" s="0" t="s">
        <v>9</v>
      </c>
      <c r="C212" s="0" t="str">
        <f aca="false">"203-214"</f>
        <v>203-214</v>
      </c>
      <c r="D212" s="0" t="s">
        <v>9</v>
      </c>
      <c r="E212" s="0" t="str">
        <f aca="false">"334-345"</f>
        <v>334-345</v>
      </c>
      <c r="F212" s="0" t="s">
        <v>991</v>
      </c>
      <c r="G212" s="0" t="s">
        <v>13</v>
      </c>
      <c r="H212" s="0" t="str">
        <f aca="false">"10-21"</f>
        <v>10-21</v>
      </c>
      <c r="I212" s="0" t="s">
        <v>24</v>
      </c>
      <c r="J212" s="0" t="str">
        <f aca="false">"95-106"</f>
        <v>95-106</v>
      </c>
      <c r="K212" s="0" t="str">
        <f aca="false">"0.88"</f>
        <v>0.88</v>
      </c>
      <c r="L212" s="0" t="str">
        <f aca="false">"10.39"</f>
        <v>10.39</v>
      </c>
      <c r="M212" s="0" t="str">
        <f aca="false">"24.4"</f>
        <v>24.4</v>
      </c>
    </row>
    <row r="213" customFormat="false" ht="12.8" hidden="false" customHeight="false" outlineLevel="0" collapsed="false">
      <c r="A213" s="0" t="s">
        <v>778</v>
      </c>
      <c r="B213" s="0" t="s">
        <v>9</v>
      </c>
      <c r="C213" s="0" t="str">
        <f aca="false">"204-215"</f>
        <v>204-215</v>
      </c>
      <c r="D213" s="0" t="s">
        <v>9</v>
      </c>
      <c r="E213" s="0" t="str">
        <f aca="false">"337-348"</f>
        <v>337-348</v>
      </c>
      <c r="F213" s="0" t="s">
        <v>992</v>
      </c>
      <c r="G213" s="0" t="s">
        <v>9</v>
      </c>
      <c r="H213" s="0" t="str">
        <f aca="false">"235-246"</f>
        <v>235-246</v>
      </c>
      <c r="I213" s="0" t="s">
        <v>9</v>
      </c>
      <c r="J213" s="0" t="str">
        <f aca="false">"164-175"</f>
        <v>164-175</v>
      </c>
      <c r="K213" s="0" t="str">
        <f aca="false">"1.21"</f>
        <v>1.21</v>
      </c>
      <c r="L213" s="0" t="str">
        <f aca="false">"10.17"</f>
        <v>10.17</v>
      </c>
      <c r="M213" s="0" t="str">
        <f aca="false">"29.1"</f>
        <v>29.1</v>
      </c>
    </row>
    <row r="214" customFormat="false" ht="12.8" hidden="false" customHeight="false" outlineLevel="0" collapsed="false">
      <c r="A214" s="0" t="s">
        <v>778</v>
      </c>
      <c r="B214" s="0" t="s">
        <v>9</v>
      </c>
      <c r="C214" s="0" t="str">
        <f aca="false">"204-215"</f>
        <v>204-215</v>
      </c>
      <c r="D214" s="0" t="s">
        <v>9</v>
      </c>
      <c r="E214" s="0" t="str">
        <f aca="false">"336-347"</f>
        <v>336-347</v>
      </c>
      <c r="F214" s="0" t="s">
        <v>993</v>
      </c>
      <c r="G214" s="0" t="s">
        <v>9</v>
      </c>
      <c r="H214" s="0" t="str">
        <f aca="false">"91-102"</f>
        <v>91-102</v>
      </c>
      <c r="I214" s="0" t="s">
        <v>9</v>
      </c>
      <c r="J214" s="0" t="str">
        <f aca="false">"5-16"</f>
        <v>5-16</v>
      </c>
      <c r="K214" s="0" t="str">
        <f aca="false">"0.83"</f>
        <v>0.83</v>
      </c>
      <c r="L214" s="0" t="str">
        <f aca="false">"10.45"</f>
        <v>10.45</v>
      </c>
      <c r="M214" s="0" t="str">
        <f aca="false">"31.9"</f>
        <v>31.9</v>
      </c>
    </row>
    <row r="215" customFormat="false" ht="12.8" hidden="false" customHeight="false" outlineLevel="0" collapsed="false">
      <c r="A215" s="0" t="s">
        <v>778</v>
      </c>
      <c r="B215" s="0" t="s">
        <v>9</v>
      </c>
      <c r="C215" s="0" t="str">
        <f aca="false">"207-218"</f>
        <v>207-218</v>
      </c>
      <c r="D215" s="0" t="s">
        <v>9</v>
      </c>
      <c r="E215" s="0" t="str">
        <f aca="false">"336-347"</f>
        <v>336-347</v>
      </c>
      <c r="F215" s="0" t="s">
        <v>994</v>
      </c>
      <c r="G215" s="0" t="s">
        <v>9</v>
      </c>
      <c r="H215" s="0" t="str">
        <f aca="false">"245-256"</f>
        <v>245-256</v>
      </c>
      <c r="I215" s="0" t="s">
        <v>9</v>
      </c>
      <c r="J215" s="0" t="str">
        <f aca="false">"140-151"</f>
        <v>140-151</v>
      </c>
      <c r="K215" s="0" t="str">
        <f aca="false">"1.11"</f>
        <v>1.11</v>
      </c>
      <c r="L215" s="0" t="str">
        <f aca="false">"12.73"</f>
        <v>12.73</v>
      </c>
      <c r="M215" s="0" t="str">
        <f aca="false">"21.2"</f>
        <v>21.2</v>
      </c>
    </row>
    <row r="216" customFormat="false" ht="12.8" hidden="false" customHeight="false" outlineLevel="0" collapsed="false">
      <c r="A216" s="0" t="s">
        <v>778</v>
      </c>
      <c r="B216" s="0" t="s">
        <v>9</v>
      </c>
      <c r="C216" s="0" t="str">
        <f aca="false">"201-212"</f>
        <v>201-212</v>
      </c>
      <c r="D216" s="0" t="s">
        <v>9</v>
      </c>
      <c r="E216" s="0" t="str">
        <f aca="false">"336-347"</f>
        <v>336-347</v>
      </c>
      <c r="F216" s="0" t="s">
        <v>995</v>
      </c>
      <c r="G216" s="0" t="s">
        <v>9</v>
      </c>
      <c r="H216" s="0" t="str">
        <f aca="false">"5-16"</f>
        <v>5-16</v>
      </c>
      <c r="I216" s="0" t="s">
        <v>9</v>
      </c>
      <c r="J216" s="0" t="str">
        <f aca="false">"38-49"</f>
        <v>38-49</v>
      </c>
      <c r="K216" s="0" t="str">
        <f aca="false">"0.74"</f>
        <v>0.74</v>
      </c>
      <c r="L216" s="0" t="str">
        <f aca="false">"10.98"</f>
        <v>10.98</v>
      </c>
      <c r="M216" s="0" t="str">
        <f aca="false">"29.9"</f>
        <v>29.9</v>
      </c>
    </row>
    <row r="217" customFormat="false" ht="12.8" hidden="false" customHeight="false" outlineLevel="0" collapsed="false">
      <c r="A217" s="0" t="s">
        <v>778</v>
      </c>
      <c r="B217" s="0" t="s">
        <v>9</v>
      </c>
      <c r="C217" s="0" t="str">
        <f aca="false">"202-213"</f>
        <v>202-213</v>
      </c>
      <c r="D217" s="0" t="s">
        <v>9</v>
      </c>
      <c r="E217" s="0" t="str">
        <f aca="false">"337-348"</f>
        <v>337-348</v>
      </c>
      <c r="F217" s="0" t="s">
        <v>996</v>
      </c>
      <c r="G217" s="0" t="s">
        <v>9</v>
      </c>
      <c r="H217" s="0" t="str">
        <f aca="false">"275-286"</f>
        <v>275-286</v>
      </c>
      <c r="I217" s="0" t="s">
        <v>9</v>
      </c>
      <c r="J217" s="0" t="str">
        <f aca="false">"308-319"</f>
        <v>308-319</v>
      </c>
      <c r="K217" s="0" t="str">
        <f aca="false">"0.61"</f>
        <v>0.61</v>
      </c>
      <c r="L217" s="0" t="str">
        <f aca="false">"10.83"</f>
        <v>10.83</v>
      </c>
      <c r="M217" s="0" t="str">
        <f aca="false">"25.5"</f>
        <v>25.5</v>
      </c>
    </row>
    <row r="218" customFormat="false" ht="12.8" hidden="false" customHeight="false" outlineLevel="0" collapsed="false">
      <c r="A218" s="0" t="s">
        <v>778</v>
      </c>
      <c r="B218" s="0" t="s">
        <v>9</v>
      </c>
      <c r="C218" s="0" t="str">
        <f aca="false">"207-218"</f>
        <v>207-218</v>
      </c>
      <c r="D218" s="0" t="s">
        <v>9</v>
      </c>
      <c r="E218" s="0" t="str">
        <f aca="false">"343-354"</f>
        <v>343-354</v>
      </c>
      <c r="F218" s="0" t="s">
        <v>997</v>
      </c>
      <c r="G218" s="0" t="s">
        <v>9</v>
      </c>
      <c r="H218" s="0" t="str">
        <f aca="false">"6-17"</f>
        <v>6-17</v>
      </c>
      <c r="I218" s="0" t="s">
        <v>9</v>
      </c>
      <c r="J218" s="0" t="str">
        <f aca="false">"37-48"</f>
        <v>37-48</v>
      </c>
      <c r="K218" s="0" t="str">
        <f aca="false">"1.10"</f>
        <v>1.10</v>
      </c>
      <c r="L218" s="0" t="str">
        <f aca="false">"12.28"</f>
        <v>12.28</v>
      </c>
      <c r="M218" s="0" t="str">
        <f aca="false">"25.9"</f>
        <v>25.9</v>
      </c>
    </row>
    <row r="219" customFormat="false" ht="12.8" hidden="false" customHeight="false" outlineLevel="0" collapsed="false">
      <c r="A219" s="0" t="s">
        <v>778</v>
      </c>
      <c r="B219" s="0" t="s">
        <v>9</v>
      </c>
      <c r="C219" s="0" t="str">
        <f aca="false">"206-217"</f>
        <v>206-217</v>
      </c>
      <c r="D219" s="0" t="s">
        <v>9</v>
      </c>
      <c r="E219" s="0" t="str">
        <f aca="false">"343-354"</f>
        <v>343-354</v>
      </c>
      <c r="F219" s="0" t="s">
        <v>998</v>
      </c>
      <c r="G219" s="0" t="s">
        <v>9</v>
      </c>
      <c r="H219" s="0" t="str">
        <f aca="false">"352-363"</f>
        <v>352-363</v>
      </c>
      <c r="I219" s="0" t="s">
        <v>9</v>
      </c>
      <c r="J219" s="0" t="str">
        <f aca="false">"432-443"</f>
        <v>432-443</v>
      </c>
      <c r="K219" s="0" t="str">
        <f aca="false">"1.12"</f>
        <v>1.12</v>
      </c>
      <c r="L219" s="0" t="str">
        <f aca="false">"12.56"</f>
        <v>12.56</v>
      </c>
      <c r="M219" s="0" t="str">
        <f aca="false">"26.7"</f>
        <v>26.7</v>
      </c>
    </row>
    <row r="220" customFormat="false" ht="12.8" hidden="false" customHeight="false" outlineLevel="0" collapsed="false">
      <c r="A220" s="0" t="s">
        <v>778</v>
      </c>
      <c r="B220" s="0" t="s">
        <v>9</v>
      </c>
      <c r="C220" s="0" t="str">
        <f aca="false">"205-216"</f>
        <v>205-216</v>
      </c>
      <c r="D220" s="0" t="s">
        <v>9</v>
      </c>
      <c r="E220" s="0" t="str">
        <f aca="false">"340-351"</f>
        <v>340-351</v>
      </c>
      <c r="F220" s="0" t="s">
        <v>999</v>
      </c>
      <c r="G220" s="0" t="s">
        <v>9</v>
      </c>
      <c r="H220" s="0" t="str">
        <f aca="false">"531-542"</f>
        <v>531-542</v>
      </c>
      <c r="I220" s="0" t="s">
        <v>9</v>
      </c>
      <c r="J220" s="0" t="str">
        <f aca="false">"500-511"</f>
        <v>500-511</v>
      </c>
      <c r="K220" s="0" t="str">
        <f aca="false">"1.18"</f>
        <v>1.18</v>
      </c>
      <c r="L220" s="0" t="str">
        <f aca="false">"11.31"</f>
        <v>11.31</v>
      </c>
      <c r="M220" s="0" t="str">
        <f aca="false">"16.8"</f>
        <v>16.8</v>
      </c>
    </row>
    <row r="221" customFormat="false" ht="12.8" hidden="false" customHeight="false" outlineLevel="0" collapsed="false">
      <c r="A221" s="0" t="s">
        <v>778</v>
      </c>
      <c r="B221" s="0" t="s">
        <v>9</v>
      </c>
      <c r="C221" s="0" t="str">
        <f aca="false">"201-212"</f>
        <v>201-212</v>
      </c>
      <c r="D221" s="0" t="s">
        <v>9</v>
      </c>
      <c r="E221" s="0" t="str">
        <f aca="false">"337-348"</f>
        <v>337-348</v>
      </c>
      <c r="F221" s="0" t="s">
        <v>1000</v>
      </c>
      <c r="G221" s="0" t="s">
        <v>13</v>
      </c>
      <c r="H221" s="0" t="str">
        <f aca="false">"97-108"</f>
        <v>97-108</v>
      </c>
      <c r="I221" s="0" t="s">
        <v>13</v>
      </c>
      <c r="J221" s="0" t="str">
        <f aca="false">"131-142"</f>
        <v>131-142</v>
      </c>
      <c r="K221" s="0" t="str">
        <f aca="false">"0.80"</f>
        <v>0.80</v>
      </c>
      <c r="L221" s="0" t="str">
        <f aca="false">"10.41"</f>
        <v>10.41</v>
      </c>
      <c r="M221" s="0" t="str">
        <f aca="false">"15.6"</f>
        <v>15.6</v>
      </c>
    </row>
    <row r="222" customFormat="false" ht="12.8" hidden="false" customHeight="false" outlineLevel="0" collapsed="false">
      <c r="A222" s="0" t="s">
        <v>778</v>
      </c>
      <c r="B222" s="0" t="s">
        <v>9</v>
      </c>
      <c r="C222" s="0" t="str">
        <f aca="false">"204-215"</f>
        <v>204-215</v>
      </c>
      <c r="D222" s="0" t="s">
        <v>9</v>
      </c>
      <c r="E222" s="0" t="str">
        <f aca="false">"338-349"</f>
        <v>338-349</v>
      </c>
      <c r="F222" s="0" t="s">
        <v>1001</v>
      </c>
      <c r="G222" s="0" t="s">
        <v>9</v>
      </c>
      <c r="H222" s="0" t="str">
        <f aca="false">"1076-1087"</f>
        <v>1076-1087</v>
      </c>
      <c r="I222" s="0" t="s">
        <v>9</v>
      </c>
      <c r="J222" s="0" t="str">
        <f aca="false">"1014-1025"</f>
        <v>1014-1025</v>
      </c>
      <c r="K222" s="0" t="str">
        <f aca="false">"1.10"</f>
        <v>1.10</v>
      </c>
      <c r="L222" s="0" t="str">
        <f aca="false">"11.23"</f>
        <v>11.23</v>
      </c>
      <c r="M222" s="0" t="str">
        <f aca="false">"31.0"</f>
        <v>31.0</v>
      </c>
    </row>
    <row r="223" customFormat="false" ht="12.8" hidden="false" customHeight="false" outlineLevel="0" collapsed="false">
      <c r="A223" s="0" t="s">
        <v>778</v>
      </c>
      <c r="B223" s="0" t="s">
        <v>9</v>
      </c>
      <c r="C223" s="0" t="str">
        <f aca="false">"208-219"</f>
        <v>208-219</v>
      </c>
      <c r="D223" s="0" t="s">
        <v>9</v>
      </c>
      <c r="E223" s="0" t="str">
        <f aca="false">"342-353"</f>
        <v>342-353</v>
      </c>
      <c r="F223" s="0" t="s">
        <v>1002</v>
      </c>
      <c r="G223" s="0" t="s">
        <v>9</v>
      </c>
      <c r="H223" s="0" t="str">
        <f aca="false">"73-84"</f>
        <v>73-84</v>
      </c>
      <c r="I223" s="0" t="s">
        <v>9</v>
      </c>
      <c r="J223" s="0" t="str">
        <f aca="false">"6-17"</f>
        <v>6-17</v>
      </c>
      <c r="K223" s="0" t="str">
        <f aca="false">"1.24"</f>
        <v>1.24</v>
      </c>
      <c r="L223" s="0" t="str">
        <f aca="false">"9.53"</f>
        <v>9.53</v>
      </c>
      <c r="M223" s="0" t="str">
        <f aca="false">"43.6"</f>
        <v>43.6</v>
      </c>
    </row>
    <row r="224" customFormat="false" ht="12.8" hidden="false" customHeight="false" outlineLevel="0" collapsed="false">
      <c r="A224" s="0" t="s">
        <v>778</v>
      </c>
      <c r="B224" s="0" t="s">
        <v>9</v>
      </c>
      <c r="C224" s="0" t="str">
        <f aca="false">"203-214"</f>
        <v>203-214</v>
      </c>
      <c r="D224" s="0" t="s">
        <v>9</v>
      </c>
      <c r="E224" s="0" t="str">
        <f aca="false">"337-348"</f>
        <v>337-348</v>
      </c>
      <c r="F224" s="0" t="s">
        <v>1003</v>
      </c>
      <c r="G224" s="0" t="s">
        <v>9</v>
      </c>
      <c r="H224" s="0" t="str">
        <f aca="false">"266-277"</f>
        <v>266-277</v>
      </c>
      <c r="I224" s="0" t="s">
        <v>9</v>
      </c>
      <c r="J224" s="0" t="str">
        <f aca="false">"169-180"</f>
        <v>169-180</v>
      </c>
      <c r="K224" s="0" t="str">
        <f aca="false">"1.07"</f>
        <v>1.07</v>
      </c>
      <c r="L224" s="0" t="str">
        <f aca="false">"8.46"</f>
        <v>8.46</v>
      </c>
      <c r="M224" s="0" t="str">
        <f aca="false">"31.2"</f>
        <v>31.2</v>
      </c>
    </row>
    <row r="225" customFormat="false" ht="12.8" hidden="false" customHeight="false" outlineLevel="0" collapsed="false">
      <c r="A225" s="0" t="s">
        <v>778</v>
      </c>
      <c r="B225" s="0" t="s">
        <v>9</v>
      </c>
      <c r="C225" s="0" t="str">
        <f aca="false">"203-214"</f>
        <v>203-214</v>
      </c>
      <c r="D225" s="0" t="s">
        <v>9</v>
      </c>
      <c r="E225" s="0" t="str">
        <f aca="false">"337-348"</f>
        <v>337-348</v>
      </c>
      <c r="F225" s="0" t="s">
        <v>1004</v>
      </c>
      <c r="G225" s="0" t="s">
        <v>9</v>
      </c>
      <c r="H225" s="0" t="str">
        <f aca="false">"376-387"</f>
        <v>376-387</v>
      </c>
      <c r="I225" s="0" t="s">
        <v>9</v>
      </c>
      <c r="J225" s="0" t="str">
        <f aca="false">"311-322"</f>
        <v>311-322</v>
      </c>
      <c r="K225" s="0" t="str">
        <f aca="false">"0.91"</f>
        <v>0.91</v>
      </c>
      <c r="L225" s="0" t="str">
        <f aca="false">"8.94"</f>
        <v>8.94</v>
      </c>
      <c r="M225" s="0" t="str">
        <f aca="false">"33.5"</f>
        <v>33.5</v>
      </c>
    </row>
    <row r="226" customFormat="false" ht="12.8" hidden="false" customHeight="false" outlineLevel="0" collapsed="false">
      <c r="A226" s="0" t="s">
        <v>778</v>
      </c>
      <c r="B226" s="0" t="s">
        <v>9</v>
      </c>
      <c r="C226" s="0" t="str">
        <f aca="false">"203-214"</f>
        <v>203-214</v>
      </c>
      <c r="D226" s="0" t="s">
        <v>9</v>
      </c>
      <c r="E226" s="0" t="str">
        <f aca="false">"337-348"</f>
        <v>337-348</v>
      </c>
      <c r="F226" s="0" t="s">
        <v>1005</v>
      </c>
      <c r="G226" s="0" t="s">
        <v>13</v>
      </c>
      <c r="H226" s="0" t="str">
        <f aca="false">"104-115"</f>
        <v>104-115</v>
      </c>
      <c r="I226" s="0" t="s">
        <v>13</v>
      </c>
      <c r="J226" s="0" t="str">
        <f aca="false">"146-157"</f>
        <v>146-157</v>
      </c>
      <c r="K226" s="0" t="str">
        <f aca="false">"0.94"</f>
        <v>0.94</v>
      </c>
      <c r="L226" s="0" t="str">
        <f aca="false">"8.79"</f>
        <v>8.79</v>
      </c>
      <c r="M226" s="0" t="str">
        <f aca="false">"29.7"</f>
        <v>29.7</v>
      </c>
    </row>
    <row r="227" customFormat="false" ht="12.8" hidden="false" customHeight="false" outlineLevel="0" collapsed="false">
      <c r="A227" s="0" t="s">
        <v>778</v>
      </c>
      <c r="B227" s="0" t="s">
        <v>9</v>
      </c>
      <c r="C227" s="0" t="str">
        <f aca="false">"201-212"</f>
        <v>201-212</v>
      </c>
      <c r="D227" s="0" t="s">
        <v>9</v>
      </c>
      <c r="E227" s="0" t="str">
        <f aca="false">"337-348"</f>
        <v>337-348</v>
      </c>
      <c r="F227" s="0" t="s">
        <v>1006</v>
      </c>
      <c r="G227" s="0" t="s">
        <v>9</v>
      </c>
      <c r="H227" s="0" t="str">
        <f aca="false">"4-15"</f>
        <v>4-15</v>
      </c>
      <c r="I227" s="0" t="s">
        <v>9</v>
      </c>
      <c r="J227" s="0" t="str">
        <f aca="false">"39-50"</f>
        <v>39-50</v>
      </c>
      <c r="K227" s="0" t="str">
        <f aca="false">"1.24"</f>
        <v>1.24</v>
      </c>
      <c r="L227" s="0" t="str">
        <f aca="false">"11.04"</f>
        <v>11.04</v>
      </c>
      <c r="M227" s="0" t="str">
        <f aca="false">"44.0"</f>
        <v>44.0</v>
      </c>
    </row>
    <row r="228" customFormat="false" ht="12.8" hidden="false" customHeight="false" outlineLevel="0" collapsed="false">
      <c r="A228" s="0" t="s">
        <v>778</v>
      </c>
      <c r="B228" s="0" t="s">
        <v>9</v>
      </c>
      <c r="C228" s="0" t="str">
        <f aca="false">"200-211"</f>
        <v>200-211</v>
      </c>
      <c r="D228" s="0" t="s">
        <v>9</v>
      </c>
      <c r="E228" s="0" t="str">
        <f aca="false">"333-344"</f>
        <v>333-344</v>
      </c>
      <c r="F228" s="0" t="s">
        <v>1007</v>
      </c>
      <c r="G228" s="0" t="s">
        <v>9</v>
      </c>
      <c r="H228" s="0" t="str">
        <f aca="false">"122-133"</f>
        <v>122-133</v>
      </c>
      <c r="I228" s="0" t="s">
        <v>9</v>
      </c>
      <c r="J228" s="0" t="str">
        <f aca="false">"155-166"</f>
        <v>155-166</v>
      </c>
      <c r="K228" s="0" t="str">
        <f aca="false">"1.07"</f>
        <v>1.07</v>
      </c>
      <c r="L228" s="0" t="str">
        <f aca="false">"10.69"</f>
        <v>10.69</v>
      </c>
      <c r="M228" s="0" t="str">
        <f aca="false">"5.6"</f>
        <v>5.6</v>
      </c>
    </row>
    <row r="229" customFormat="false" ht="12.8" hidden="false" customHeight="false" outlineLevel="0" collapsed="false">
      <c r="A229" s="0" t="s">
        <v>778</v>
      </c>
      <c r="B229" s="0" t="s">
        <v>9</v>
      </c>
      <c r="C229" s="0" t="str">
        <f aca="false">"204-215"</f>
        <v>204-215</v>
      </c>
      <c r="D229" s="0" t="s">
        <v>9</v>
      </c>
      <c r="E229" s="0" t="str">
        <f aca="false">"337-348"</f>
        <v>337-348</v>
      </c>
      <c r="F229" s="0" t="s">
        <v>1008</v>
      </c>
      <c r="G229" s="0" t="s">
        <v>120</v>
      </c>
      <c r="H229" s="0" t="str">
        <f aca="false">"469-480"</f>
        <v>469-480</v>
      </c>
      <c r="I229" s="0" t="s">
        <v>120</v>
      </c>
      <c r="J229" s="0" t="str">
        <f aca="false">"318-329"</f>
        <v>318-329</v>
      </c>
      <c r="K229" s="0" t="str">
        <f aca="false">"1.23"</f>
        <v>1.23</v>
      </c>
      <c r="L229" s="0" t="str">
        <f aca="false">"9.95"</f>
        <v>9.95</v>
      </c>
      <c r="M229" s="0" t="str">
        <f aca="false">"13.5"</f>
        <v>13.5</v>
      </c>
    </row>
    <row r="230" customFormat="false" ht="12.8" hidden="false" customHeight="false" outlineLevel="0" collapsed="false">
      <c r="A230" s="0" t="s">
        <v>778</v>
      </c>
      <c r="B230" s="0" t="s">
        <v>9</v>
      </c>
      <c r="C230" s="0" t="str">
        <f aca="false">"203-214"</f>
        <v>203-214</v>
      </c>
      <c r="D230" s="0" t="s">
        <v>9</v>
      </c>
      <c r="E230" s="0" t="str">
        <f aca="false">"338-349"</f>
        <v>338-349</v>
      </c>
      <c r="F230" s="0" t="s">
        <v>1009</v>
      </c>
      <c r="G230" s="0" t="s">
        <v>13</v>
      </c>
      <c r="H230" s="0" t="str">
        <f aca="false">"316-327"</f>
        <v>316-327</v>
      </c>
      <c r="I230" s="0" t="s">
        <v>13</v>
      </c>
      <c r="J230" s="0" t="str">
        <f aca="false">"357-368"</f>
        <v>357-368</v>
      </c>
      <c r="K230" s="0" t="str">
        <f aca="false">"0.88"</f>
        <v>0.88</v>
      </c>
      <c r="L230" s="0" t="str">
        <f aca="false">"9.83"</f>
        <v>9.83</v>
      </c>
      <c r="M230" s="0" t="str">
        <f aca="false">"19.9"</f>
        <v>19.9</v>
      </c>
    </row>
    <row r="231" customFormat="false" ht="12.8" hidden="false" customHeight="false" outlineLevel="0" collapsed="false">
      <c r="A231" s="0" t="s">
        <v>778</v>
      </c>
      <c r="B231" s="0" t="s">
        <v>9</v>
      </c>
      <c r="C231" s="0" t="str">
        <f aca="false">"201-212"</f>
        <v>201-212</v>
      </c>
      <c r="D231" s="0" t="s">
        <v>9</v>
      </c>
      <c r="E231" s="0" t="str">
        <f aca="false">"334-345"</f>
        <v>334-345</v>
      </c>
      <c r="F231" s="0" t="s">
        <v>1010</v>
      </c>
      <c r="G231" s="0" t="s">
        <v>9</v>
      </c>
      <c r="H231" s="0" t="str">
        <f aca="false">"169-180"</f>
        <v>169-180</v>
      </c>
      <c r="I231" s="0" t="s">
        <v>9</v>
      </c>
      <c r="J231" s="0" t="str">
        <f aca="false">"126-137"</f>
        <v>126-137</v>
      </c>
      <c r="K231" s="0" t="str">
        <f aca="false">"1.17"</f>
        <v>1.17</v>
      </c>
      <c r="L231" s="0" t="str">
        <f aca="false">"9.91"</f>
        <v>9.91</v>
      </c>
      <c r="M231" s="0" t="str">
        <f aca="false">"11.8"</f>
        <v>11.8</v>
      </c>
    </row>
    <row r="232" customFormat="false" ht="12.8" hidden="false" customHeight="false" outlineLevel="0" collapsed="false">
      <c r="A232" s="0" t="s">
        <v>778</v>
      </c>
      <c r="B232" s="0" t="s">
        <v>9</v>
      </c>
      <c r="C232" s="0" t="str">
        <f aca="false">"208-219"</f>
        <v>208-219</v>
      </c>
      <c r="D232" s="0" t="s">
        <v>9</v>
      </c>
      <c r="E232" s="0" t="str">
        <f aca="false">"341-352"</f>
        <v>341-352</v>
      </c>
      <c r="F232" s="0" t="s">
        <v>1011</v>
      </c>
      <c r="G232" s="0" t="s">
        <v>9</v>
      </c>
      <c r="H232" s="0" t="str">
        <f aca="false">"155-166"</f>
        <v>155-166</v>
      </c>
      <c r="I232" s="0" t="s">
        <v>9</v>
      </c>
      <c r="J232" s="0" t="str">
        <f aca="false">"122-133"</f>
        <v>122-133</v>
      </c>
      <c r="K232" s="0" t="str">
        <f aca="false">"1.22"</f>
        <v>1.22</v>
      </c>
      <c r="L232" s="0" t="str">
        <f aca="false">"11.02"</f>
        <v>11.02</v>
      </c>
      <c r="M232" s="0" t="str">
        <f aca="false">"20.9"</f>
        <v>20.9</v>
      </c>
    </row>
    <row r="233" customFormat="false" ht="12.8" hidden="false" customHeight="false" outlineLevel="0" collapsed="false">
      <c r="A233" s="0" t="s">
        <v>778</v>
      </c>
      <c r="B233" s="0" t="s">
        <v>9</v>
      </c>
      <c r="C233" s="0" t="str">
        <f aca="false">"207-218"</f>
        <v>207-218</v>
      </c>
      <c r="D233" s="0" t="s">
        <v>9</v>
      </c>
      <c r="E233" s="0" t="str">
        <f aca="false">"343-354"</f>
        <v>343-354</v>
      </c>
      <c r="F233" s="0" t="s">
        <v>1012</v>
      </c>
      <c r="G233" s="0" t="s">
        <v>9</v>
      </c>
      <c r="H233" s="0" t="str">
        <f aca="false">"72-83"</f>
        <v>72-83</v>
      </c>
      <c r="I233" s="0" t="s">
        <v>9</v>
      </c>
      <c r="J233" s="0" t="str">
        <f aca="false">"106-117"</f>
        <v>106-117</v>
      </c>
      <c r="K233" s="0" t="str">
        <f aca="false">"1.11"</f>
        <v>1.11</v>
      </c>
      <c r="L233" s="0" t="str">
        <f aca="false">"11.15"</f>
        <v>11.15</v>
      </c>
      <c r="M233" s="0" t="str">
        <f aca="false">"30.7"</f>
        <v>30.7</v>
      </c>
    </row>
    <row r="234" customFormat="false" ht="12.8" hidden="false" customHeight="false" outlineLevel="0" collapsed="false">
      <c r="A234" s="0" t="s">
        <v>778</v>
      </c>
      <c r="B234" s="0" t="s">
        <v>9</v>
      </c>
      <c r="C234" s="0" t="str">
        <f aca="false">"208-219"</f>
        <v>208-219</v>
      </c>
      <c r="D234" s="0" t="s">
        <v>9</v>
      </c>
      <c r="E234" s="0" t="str">
        <f aca="false">"343-354"</f>
        <v>343-354</v>
      </c>
      <c r="F234" s="0" t="s">
        <v>1013</v>
      </c>
      <c r="G234" s="0" t="s">
        <v>9</v>
      </c>
      <c r="H234" s="0" t="str">
        <f aca="false">"39-50"</f>
        <v>39-50</v>
      </c>
      <c r="I234" s="0" t="s">
        <v>9</v>
      </c>
      <c r="J234" s="0" t="str">
        <f aca="false">"72-83"</f>
        <v>72-83</v>
      </c>
      <c r="K234" s="0" t="str">
        <f aca="false">"0.70"</f>
        <v>0.70</v>
      </c>
      <c r="L234" s="0" t="str">
        <f aca="false">"10.99"</f>
        <v>10.99</v>
      </c>
      <c r="M234" s="0" t="str">
        <f aca="false">"31.2"</f>
        <v>31.2</v>
      </c>
    </row>
    <row r="235" customFormat="false" ht="12.8" hidden="false" customHeight="false" outlineLevel="0" collapsed="false">
      <c r="A235" s="0" t="s">
        <v>778</v>
      </c>
      <c r="B235" s="0" t="s">
        <v>9</v>
      </c>
      <c r="C235" s="0" t="str">
        <f aca="false">"200-211"</f>
        <v>200-211</v>
      </c>
      <c r="D235" s="0" t="s">
        <v>9</v>
      </c>
      <c r="E235" s="0" t="str">
        <f aca="false">"336-347"</f>
        <v>336-347</v>
      </c>
      <c r="F235" s="0" t="s">
        <v>1014</v>
      </c>
      <c r="G235" s="0" t="s">
        <v>9</v>
      </c>
      <c r="H235" s="0" t="str">
        <f aca="false">"303-314"</f>
        <v>303-314</v>
      </c>
      <c r="I235" s="0" t="s">
        <v>9</v>
      </c>
      <c r="J235" s="0" t="str">
        <f aca="false">"263-274"</f>
        <v>263-274</v>
      </c>
      <c r="K235" s="0" t="str">
        <f aca="false">"0.76"</f>
        <v>0.76</v>
      </c>
      <c r="L235" s="0" t="str">
        <f aca="false">"10.81"</f>
        <v>10.81</v>
      </c>
      <c r="M235" s="0" t="str">
        <f aca="false">"14.8"</f>
        <v>14.8</v>
      </c>
    </row>
    <row r="236" customFormat="false" ht="12.8" hidden="false" customHeight="false" outlineLevel="0" collapsed="false">
      <c r="A236" s="0" t="s">
        <v>778</v>
      </c>
      <c r="B236" s="0" t="s">
        <v>9</v>
      </c>
      <c r="C236" s="0" t="str">
        <f aca="false">"202-213"</f>
        <v>202-213</v>
      </c>
      <c r="D236" s="0" t="s">
        <v>9</v>
      </c>
      <c r="E236" s="0" t="str">
        <f aca="false">"337-348"</f>
        <v>337-348</v>
      </c>
      <c r="F236" s="0" t="s">
        <v>1015</v>
      </c>
      <c r="G236" s="0" t="s">
        <v>9</v>
      </c>
      <c r="H236" s="0" t="str">
        <f aca="false">"385-396"</f>
        <v>385-396</v>
      </c>
      <c r="I236" s="0" t="s">
        <v>9</v>
      </c>
      <c r="J236" s="0" t="str">
        <f aca="false">"418-429"</f>
        <v>418-429</v>
      </c>
      <c r="K236" s="0" t="str">
        <f aca="false">"0.66"</f>
        <v>0.66</v>
      </c>
      <c r="L236" s="0" t="str">
        <f aca="false">"11.03"</f>
        <v>11.03</v>
      </c>
      <c r="M236" s="0" t="str">
        <f aca="false">"27.2"</f>
        <v>27.2</v>
      </c>
    </row>
    <row r="237" customFormat="false" ht="12.8" hidden="false" customHeight="false" outlineLevel="0" collapsed="false">
      <c r="A237" s="0" t="s">
        <v>778</v>
      </c>
      <c r="B237" s="0" t="s">
        <v>9</v>
      </c>
      <c r="C237" s="0" t="str">
        <f aca="false">"201-212"</f>
        <v>201-212</v>
      </c>
      <c r="D237" s="0" t="s">
        <v>9</v>
      </c>
      <c r="E237" s="0" t="str">
        <f aca="false">"336-347"</f>
        <v>336-347</v>
      </c>
      <c r="F237" s="0" t="s">
        <v>1016</v>
      </c>
      <c r="G237" s="0" t="s">
        <v>9</v>
      </c>
      <c r="H237" s="0" t="str">
        <f aca="false">"75-86"</f>
        <v>75-86</v>
      </c>
      <c r="I237" s="0" t="s">
        <v>9</v>
      </c>
      <c r="J237" s="0" t="str">
        <f aca="false">"108-119"</f>
        <v>108-119</v>
      </c>
      <c r="K237" s="0" t="str">
        <f aca="false">"0.86"</f>
        <v>0.86</v>
      </c>
      <c r="L237" s="0" t="str">
        <f aca="false">"11.35"</f>
        <v>11.35</v>
      </c>
      <c r="M237" s="0" t="str">
        <f aca="false">"15.9"</f>
        <v>15.9</v>
      </c>
    </row>
    <row r="238" customFormat="false" ht="12.8" hidden="false" customHeight="false" outlineLevel="0" collapsed="false">
      <c r="A238" s="0" t="s">
        <v>778</v>
      </c>
      <c r="B238" s="0" t="s">
        <v>9</v>
      </c>
      <c r="C238" s="0" t="str">
        <f aca="false">"207-218"</f>
        <v>207-218</v>
      </c>
      <c r="D238" s="0" t="s">
        <v>9</v>
      </c>
      <c r="E238" s="0" t="str">
        <f aca="false">"340-351"</f>
        <v>340-351</v>
      </c>
      <c r="F238" s="0" t="s">
        <v>1017</v>
      </c>
      <c r="G238" s="0" t="s">
        <v>13</v>
      </c>
      <c r="H238" s="0" t="str">
        <f aca="false">"234-245"</f>
        <v>234-245</v>
      </c>
      <c r="I238" s="0" t="s">
        <v>13</v>
      </c>
      <c r="J238" s="0" t="str">
        <f aca="false">"269-280"</f>
        <v>269-280</v>
      </c>
      <c r="K238" s="0" t="str">
        <f aca="false">"1.05"</f>
        <v>1.05</v>
      </c>
      <c r="L238" s="0" t="str">
        <f aca="false">"10.14"</f>
        <v>10.14</v>
      </c>
      <c r="M238" s="0" t="str">
        <f aca="false">"39.3"</f>
        <v>39.3</v>
      </c>
    </row>
    <row r="239" customFormat="false" ht="12.8" hidden="false" customHeight="false" outlineLevel="0" collapsed="false">
      <c r="A239" s="0" t="s">
        <v>778</v>
      </c>
      <c r="B239" s="0" t="s">
        <v>9</v>
      </c>
      <c r="C239" s="0" t="str">
        <f aca="false">"208-219"</f>
        <v>208-219</v>
      </c>
      <c r="D239" s="0" t="s">
        <v>9</v>
      </c>
      <c r="E239" s="0" t="str">
        <f aca="false">"341-352"</f>
        <v>341-352</v>
      </c>
      <c r="F239" s="0" t="s">
        <v>1018</v>
      </c>
      <c r="G239" s="0" t="s">
        <v>13</v>
      </c>
      <c r="H239" s="0" t="str">
        <f aca="false">"33-44"</f>
        <v>33-44</v>
      </c>
      <c r="I239" s="0" t="s">
        <v>13</v>
      </c>
      <c r="J239" s="0" t="str">
        <f aca="false">"73-84"</f>
        <v>73-84</v>
      </c>
      <c r="K239" s="0" t="str">
        <f aca="false">"1.13"</f>
        <v>1.13</v>
      </c>
      <c r="L239" s="0" t="str">
        <f aca="false">"9.35"</f>
        <v>9.35</v>
      </c>
      <c r="M239" s="0" t="str">
        <f aca="false">"32.7"</f>
        <v>32.7</v>
      </c>
    </row>
    <row r="240" customFormat="false" ht="12.8" hidden="false" customHeight="false" outlineLevel="0" collapsed="false">
      <c r="A240" s="0" t="s">
        <v>778</v>
      </c>
      <c r="B240" s="0" t="s">
        <v>9</v>
      </c>
      <c r="C240" s="0" t="str">
        <f aca="false">"208-219"</f>
        <v>208-219</v>
      </c>
      <c r="D240" s="0" t="s">
        <v>9</v>
      </c>
      <c r="E240" s="0" t="str">
        <f aca="false">"341-352"</f>
        <v>341-352</v>
      </c>
      <c r="F240" s="0" t="s">
        <v>1019</v>
      </c>
      <c r="G240" s="0" t="s">
        <v>9</v>
      </c>
      <c r="H240" s="0" t="str">
        <f aca="false">"2-13"</f>
        <v>2-13</v>
      </c>
      <c r="I240" s="0" t="s">
        <v>13</v>
      </c>
      <c r="J240" s="0" t="str">
        <f aca="false">"36-47"</f>
        <v>36-47</v>
      </c>
      <c r="K240" s="0" t="str">
        <f aca="false">"1.15"</f>
        <v>1.15</v>
      </c>
      <c r="L240" s="0" t="str">
        <f aca="false">"11.67"</f>
        <v>11.67</v>
      </c>
      <c r="M240" s="0" t="str">
        <f aca="false">"32.1"</f>
        <v>32.1</v>
      </c>
    </row>
    <row r="241" customFormat="false" ht="12.8" hidden="false" customHeight="false" outlineLevel="0" collapsed="false">
      <c r="A241" s="0" t="s">
        <v>778</v>
      </c>
      <c r="B241" s="0" t="s">
        <v>9</v>
      </c>
      <c r="C241" s="0" t="str">
        <f aca="false">"202-213"</f>
        <v>202-213</v>
      </c>
      <c r="D241" s="0" t="s">
        <v>9</v>
      </c>
      <c r="E241" s="0" t="str">
        <f aca="false">"337-348"</f>
        <v>337-348</v>
      </c>
      <c r="F241" s="0" t="s">
        <v>1020</v>
      </c>
      <c r="G241" s="0" t="s">
        <v>13</v>
      </c>
      <c r="H241" s="0" t="str">
        <f aca="false">"132-143"</f>
        <v>132-143</v>
      </c>
      <c r="I241" s="0" t="s">
        <v>13</v>
      </c>
      <c r="J241" s="0" t="str">
        <f aca="false">"165-176"</f>
        <v>165-176</v>
      </c>
      <c r="K241" s="0" t="str">
        <f aca="false">"1.13"</f>
        <v>1.13</v>
      </c>
      <c r="L241" s="0" t="str">
        <f aca="false">"11.05"</f>
        <v>11.05</v>
      </c>
      <c r="M241" s="0" t="str">
        <f aca="false">"26.5"</f>
        <v>26.5</v>
      </c>
    </row>
    <row r="242" customFormat="false" ht="12.8" hidden="false" customHeight="false" outlineLevel="0" collapsed="false">
      <c r="A242" s="0" t="s">
        <v>778</v>
      </c>
      <c r="B242" s="0" t="s">
        <v>9</v>
      </c>
      <c r="C242" s="0" t="str">
        <f aca="false">"201-212"</f>
        <v>201-212</v>
      </c>
      <c r="D242" s="0" t="s">
        <v>9</v>
      </c>
      <c r="E242" s="0" t="str">
        <f aca="false">"337-348"</f>
        <v>337-348</v>
      </c>
      <c r="F242" s="0" t="s">
        <v>1021</v>
      </c>
      <c r="G242" s="0" t="s">
        <v>13</v>
      </c>
      <c r="H242" s="0" t="str">
        <f aca="false">"353-364"</f>
        <v>353-364</v>
      </c>
      <c r="I242" s="0" t="s">
        <v>13</v>
      </c>
      <c r="J242" s="0" t="str">
        <f aca="false">"317-328"</f>
        <v>317-328</v>
      </c>
      <c r="K242" s="0" t="str">
        <f aca="false">"1.15"</f>
        <v>1.15</v>
      </c>
      <c r="L242" s="0" t="str">
        <f aca="false">"11.76"</f>
        <v>11.76</v>
      </c>
      <c r="M242" s="0" t="str">
        <f aca="false">"19.0"</f>
        <v>19.0</v>
      </c>
    </row>
    <row r="243" customFormat="false" ht="12.8" hidden="false" customHeight="false" outlineLevel="0" collapsed="false">
      <c r="A243" s="0" t="s">
        <v>778</v>
      </c>
      <c r="B243" s="0" t="s">
        <v>9</v>
      </c>
      <c r="C243" s="0" t="str">
        <f aca="false">"204-215"</f>
        <v>204-215</v>
      </c>
      <c r="D243" s="0" t="s">
        <v>9</v>
      </c>
      <c r="E243" s="0" t="str">
        <f aca="false">"340-351"</f>
        <v>340-351</v>
      </c>
      <c r="F243" s="0" t="s">
        <v>1022</v>
      </c>
      <c r="G243" s="0" t="s">
        <v>13</v>
      </c>
      <c r="H243" s="0" t="str">
        <f aca="false">"181-192"</f>
        <v>181-192</v>
      </c>
      <c r="I243" s="0" t="s">
        <v>13</v>
      </c>
      <c r="J243" s="0" t="str">
        <f aca="false">"56-67"</f>
        <v>56-67</v>
      </c>
      <c r="K243" s="0" t="str">
        <f aca="false">"1.24"</f>
        <v>1.24</v>
      </c>
      <c r="L243" s="0" t="str">
        <f aca="false">"10.84"</f>
        <v>10.84</v>
      </c>
      <c r="M243" s="0" t="str">
        <f aca="false">"38.7"</f>
        <v>38.7</v>
      </c>
    </row>
    <row r="244" customFormat="false" ht="12.8" hidden="false" customHeight="false" outlineLevel="0" collapsed="false">
      <c r="A244" s="0" t="s">
        <v>778</v>
      </c>
      <c r="B244" s="0" t="s">
        <v>9</v>
      </c>
      <c r="C244" s="0" t="str">
        <f aca="false">"202-213"</f>
        <v>202-213</v>
      </c>
      <c r="D244" s="0" t="s">
        <v>9</v>
      </c>
      <c r="E244" s="0" t="str">
        <f aca="false">"338-349"</f>
        <v>338-349</v>
      </c>
      <c r="F244" s="0" t="s">
        <v>1023</v>
      </c>
      <c r="G244" s="0" t="s">
        <v>9</v>
      </c>
      <c r="H244" s="0" t="str">
        <f aca="false">"102-113"</f>
        <v>102-113</v>
      </c>
      <c r="I244" s="0" t="s">
        <v>9</v>
      </c>
      <c r="J244" s="0" t="str">
        <f aca="false">"228-239"</f>
        <v>228-239</v>
      </c>
      <c r="K244" s="0" t="str">
        <f aca="false">"1.22"</f>
        <v>1.22</v>
      </c>
      <c r="L244" s="0" t="str">
        <f aca="false">"10.88"</f>
        <v>10.88</v>
      </c>
      <c r="M244" s="0" t="str">
        <f aca="false">"36.8"</f>
        <v>36.8</v>
      </c>
    </row>
    <row r="245" customFormat="false" ht="12.8" hidden="false" customHeight="false" outlineLevel="0" collapsed="false">
      <c r="A245" s="0" t="s">
        <v>778</v>
      </c>
      <c r="B245" s="0" t="s">
        <v>9</v>
      </c>
      <c r="C245" s="0" t="str">
        <f aca="false">"200-211"</f>
        <v>200-211</v>
      </c>
      <c r="D245" s="0" t="s">
        <v>9</v>
      </c>
      <c r="E245" s="0" t="str">
        <f aca="false">"334-345"</f>
        <v>334-345</v>
      </c>
      <c r="F245" s="0" t="s">
        <v>1024</v>
      </c>
      <c r="G245" s="0" t="s">
        <v>9</v>
      </c>
      <c r="H245" s="0" t="str">
        <f aca="false">"103-114"</f>
        <v>103-114</v>
      </c>
      <c r="I245" s="0" t="s">
        <v>9</v>
      </c>
      <c r="J245" s="0" t="str">
        <f aca="false">"53-64"</f>
        <v>53-64</v>
      </c>
      <c r="K245" s="0" t="str">
        <f aca="false">"1.05"</f>
        <v>1.05</v>
      </c>
      <c r="L245" s="0" t="str">
        <f aca="false">"9.29"</f>
        <v>9.29</v>
      </c>
      <c r="M245" s="0" t="str">
        <f aca="false">"34.5"</f>
        <v>34.5</v>
      </c>
    </row>
    <row r="246" customFormat="false" ht="12.8" hidden="false" customHeight="false" outlineLevel="0" collapsed="false">
      <c r="A246" s="0" t="s">
        <v>778</v>
      </c>
      <c r="B246" s="0" t="s">
        <v>9</v>
      </c>
      <c r="C246" s="0" t="str">
        <f aca="false">"203-214"</f>
        <v>203-214</v>
      </c>
      <c r="D246" s="0" t="s">
        <v>9</v>
      </c>
      <c r="E246" s="0" t="str">
        <f aca="false">"337-348"</f>
        <v>337-348</v>
      </c>
      <c r="F246" s="0" t="s">
        <v>1025</v>
      </c>
      <c r="G246" s="0" t="s">
        <v>9</v>
      </c>
      <c r="H246" s="0" t="str">
        <f aca="false">"358-369"</f>
        <v>358-369</v>
      </c>
      <c r="I246" s="0" t="s">
        <v>9</v>
      </c>
      <c r="J246" s="0" t="str">
        <f aca="false">"182-193"</f>
        <v>182-193</v>
      </c>
      <c r="K246" s="0" t="str">
        <f aca="false">"1.22"</f>
        <v>1.22</v>
      </c>
      <c r="L246" s="0" t="str">
        <f aca="false">"10.56"</f>
        <v>10.56</v>
      </c>
      <c r="M246" s="0" t="str">
        <f aca="false">"14.1"</f>
        <v>14.1</v>
      </c>
    </row>
    <row r="247" customFormat="false" ht="12.8" hidden="false" customHeight="false" outlineLevel="0" collapsed="false">
      <c r="A247" s="0" t="s">
        <v>778</v>
      </c>
      <c r="B247" s="0" t="s">
        <v>9</v>
      </c>
      <c r="C247" s="0" t="str">
        <f aca="false">"208-219"</f>
        <v>208-219</v>
      </c>
      <c r="D247" s="0" t="s">
        <v>9</v>
      </c>
      <c r="E247" s="0" t="str">
        <f aca="false">"341-352"</f>
        <v>341-352</v>
      </c>
      <c r="F247" s="0" t="s">
        <v>1026</v>
      </c>
      <c r="G247" s="0" t="s">
        <v>9</v>
      </c>
      <c r="H247" s="0" t="str">
        <f aca="false">"10-21"</f>
        <v>10-21</v>
      </c>
      <c r="I247" s="0" t="s">
        <v>9</v>
      </c>
      <c r="J247" s="0" t="str">
        <f aca="false">"36-47"</f>
        <v>36-47</v>
      </c>
      <c r="K247" s="0" t="str">
        <f aca="false">"0.82"</f>
        <v>0.82</v>
      </c>
      <c r="L247" s="0" t="str">
        <f aca="false">"10.43"</f>
        <v>10.43</v>
      </c>
      <c r="M247" s="0" t="str">
        <f aca="false">"33.0"</f>
        <v>33.0</v>
      </c>
    </row>
    <row r="248" customFormat="false" ht="12.8" hidden="false" customHeight="false" outlineLevel="0" collapsed="false">
      <c r="A248" s="0" t="s">
        <v>778</v>
      </c>
      <c r="B248" s="0" t="s">
        <v>9</v>
      </c>
      <c r="C248" s="0" t="str">
        <f aca="false">"207-218"</f>
        <v>207-218</v>
      </c>
      <c r="D248" s="0" t="s">
        <v>9</v>
      </c>
      <c r="E248" s="0" t="str">
        <f aca="false">"343-354"</f>
        <v>343-354</v>
      </c>
      <c r="F248" s="0" t="s">
        <v>1027</v>
      </c>
      <c r="G248" s="0" t="s">
        <v>9</v>
      </c>
      <c r="H248" s="0" t="str">
        <f aca="false">"74-85"</f>
        <v>74-85</v>
      </c>
      <c r="I248" s="0" t="s">
        <v>9</v>
      </c>
      <c r="J248" s="0" t="str">
        <f aca="false">"254-265"</f>
        <v>254-265</v>
      </c>
      <c r="K248" s="0" t="str">
        <f aca="false">"1.22"</f>
        <v>1.22</v>
      </c>
      <c r="L248" s="0" t="str">
        <f aca="false">"11.98"</f>
        <v>11.98</v>
      </c>
      <c r="M248" s="0" t="str">
        <f aca="false">"37.9"</f>
        <v>37.9</v>
      </c>
    </row>
    <row r="249" customFormat="false" ht="12.8" hidden="false" customHeight="false" outlineLevel="0" collapsed="false">
      <c r="A249" s="0" t="s">
        <v>778</v>
      </c>
      <c r="B249" s="0" t="s">
        <v>9</v>
      </c>
      <c r="C249" s="0" t="str">
        <f aca="false">"205-216"</f>
        <v>205-216</v>
      </c>
      <c r="D249" s="0" t="s">
        <v>9</v>
      </c>
      <c r="E249" s="0" t="str">
        <f aca="false">"334-345"</f>
        <v>334-345</v>
      </c>
      <c r="F249" s="0" t="s">
        <v>1028</v>
      </c>
      <c r="G249" s="0" t="s">
        <v>9</v>
      </c>
      <c r="H249" s="0" t="str">
        <f aca="false">"247-258"</f>
        <v>247-258</v>
      </c>
      <c r="I249" s="0" t="s">
        <v>9</v>
      </c>
      <c r="J249" s="0" t="str">
        <f aca="false">"330-341"</f>
        <v>330-341</v>
      </c>
      <c r="K249" s="0" t="str">
        <f aca="false">"0.91"</f>
        <v>0.91</v>
      </c>
      <c r="L249" s="0" t="str">
        <f aca="false">"10.95"</f>
        <v>10.95</v>
      </c>
      <c r="M249" s="0" t="str">
        <f aca="false">"21.4"</f>
        <v>21.4</v>
      </c>
    </row>
    <row r="250" customFormat="false" ht="12.8" hidden="false" customHeight="false" outlineLevel="0" collapsed="false">
      <c r="A250" s="0" t="s">
        <v>778</v>
      </c>
      <c r="B250" s="0" t="s">
        <v>9</v>
      </c>
      <c r="C250" s="0" t="str">
        <f aca="false">"203-214"</f>
        <v>203-214</v>
      </c>
      <c r="D250" s="0" t="s">
        <v>9</v>
      </c>
      <c r="E250" s="0" t="str">
        <f aca="false">"339-350"</f>
        <v>339-350</v>
      </c>
      <c r="F250" s="0" t="s">
        <v>1029</v>
      </c>
      <c r="G250" s="0" t="s">
        <v>13</v>
      </c>
      <c r="H250" s="0" t="str">
        <f aca="false">"51-62"</f>
        <v>51-62</v>
      </c>
      <c r="I250" s="0" t="s">
        <v>9</v>
      </c>
      <c r="J250" s="0" t="str">
        <f aca="false">"38-49"</f>
        <v>38-49</v>
      </c>
      <c r="K250" s="0" t="str">
        <f aca="false">"1.19"</f>
        <v>1.19</v>
      </c>
      <c r="L250" s="0" t="str">
        <f aca="false">"11.29"</f>
        <v>11.29</v>
      </c>
      <c r="M250" s="0" t="str">
        <f aca="false">"40.1"</f>
        <v>40.1</v>
      </c>
    </row>
    <row r="251" customFormat="false" ht="12.8" hidden="false" customHeight="false" outlineLevel="0" collapsed="false">
      <c r="A251" s="0" t="s">
        <v>778</v>
      </c>
      <c r="B251" s="0" t="s">
        <v>9</v>
      </c>
      <c r="C251" s="0" t="str">
        <f aca="false">"210-221"</f>
        <v>210-221</v>
      </c>
      <c r="D251" s="0" t="s">
        <v>9</v>
      </c>
      <c r="E251" s="0" t="str">
        <f aca="false">"340-351"</f>
        <v>340-351</v>
      </c>
      <c r="F251" s="0" t="s">
        <v>1030</v>
      </c>
      <c r="G251" s="0" t="s">
        <v>9</v>
      </c>
      <c r="H251" s="0" t="str">
        <f aca="false">"240-251"</f>
        <v>240-251</v>
      </c>
      <c r="I251" s="0" t="s">
        <v>9</v>
      </c>
      <c r="J251" s="0" t="str">
        <f aca="false">"182-193"</f>
        <v>182-193</v>
      </c>
      <c r="K251" s="0" t="str">
        <f aca="false">"0.94"</f>
        <v>0.94</v>
      </c>
      <c r="L251" s="0" t="str">
        <f aca="false">"11.73"</f>
        <v>11.73</v>
      </c>
      <c r="M251" s="0" t="str">
        <f aca="false">"19.7"</f>
        <v>19.7</v>
      </c>
    </row>
    <row r="252" customFormat="false" ht="12.8" hidden="false" customHeight="false" outlineLevel="0" collapsed="false">
      <c r="A252" s="0" t="s">
        <v>778</v>
      </c>
      <c r="B252" s="0" t="s">
        <v>9</v>
      </c>
      <c r="C252" s="0" t="str">
        <f aca="false">"203-214"</f>
        <v>203-214</v>
      </c>
      <c r="D252" s="0" t="s">
        <v>9</v>
      </c>
      <c r="E252" s="0" t="str">
        <f aca="false">"339-350"</f>
        <v>339-350</v>
      </c>
      <c r="F252" s="0" t="s">
        <v>1031</v>
      </c>
      <c r="G252" s="0" t="s">
        <v>9</v>
      </c>
      <c r="H252" s="0" t="str">
        <f aca="false">"533-544"</f>
        <v>533-544</v>
      </c>
      <c r="I252" s="0" t="s">
        <v>9</v>
      </c>
      <c r="J252" s="0" t="str">
        <f aca="false">"454-465"</f>
        <v>454-465</v>
      </c>
      <c r="K252" s="0" t="str">
        <f aca="false">"1.02"</f>
        <v>1.02</v>
      </c>
      <c r="L252" s="0" t="str">
        <f aca="false">"10.63"</f>
        <v>10.63</v>
      </c>
      <c r="M252" s="0" t="str">
        <f aca="false">"16.3"</f>
        <v>16.3</v>
      </c>
    </row>
    <row r="253" customFormat="false" ht="12.8" hidden="false" customHeight="false" outlineLevel="0" collapsed="false">
      <c r="A253" s="0" t="s">
        <v>778</v>
      </c>
      <c r="B253" s="0" t="s">
        <v>9</v>
      </c>
      <c r="C253" s="0" t="str">
        <f aca="false">"203-214"</f>
        <v>203-214</v>
      </c>
      <c r="D253" s="0" t="s">
        <v>9</v>
      </c>
      <c r="E253" s="0" t="str">
        <f aca="false">"337-348"</f>
        <v>337-348</v>
      </c>
      <c r="F253" s="0" t="s">
        <v>1032</v>
      </c>
      <c r="G253" s="0" t="s">
        <v>13</v>
      </c>
      <c r="H253" s="0" t="str">
        <f aca="false">"232-243"</f>
        <v>232-243</v>
      </c>
      <c r="I253" s="0" t="s">
        <v>13</v>
      </c>
      <c r="J253" s="0" t="str">
        <f aca="false">"272-283"</f>
        <v>272-283</v>
      </c>
      <c r="K253" s="0" t="str">
        <f aca="false">"0.98"</f>
        <v>0.98</v>
      </c>
      <c r="L253" s="0" t="str">
        <f aca="false">"8.49"</f>
        <v>8.49</v>
      </c>
      <c r="M253" s="0" t="str">
        <f aca="false">"18.6"</f>
        <v>18.6</v>
      </c>
    </row>
    <row r="254" customFormat="false" ht="12.8" hidden="false" customHeight="false" outlineLevel="0" collapsed="false">
      <c r="A254" s="0" t="s">
        <v>778</v>
      </c>
      <c r="B254" s="0" t="s">
        <v>9</v>
      </c>
      <c r="C254" s="0" t="str">
        <f aca="false">"207-218"</f>
        <v>207-218</v>
      </c>
      <c r="D254" s="0" t="s">
        <v>9</v>
      </c>
      <c r="E254" s="0" t="str">
        <f aca="false">"340-351"</f>
        <v>340-351</v>
      </c>
      <c r="F254" s="0" t="s">
        <v>1033</v>
      </c>
      <c r="G254" s="0" t="s">
        <v>13</v>
      </c>
      <c r="H254" s="0" t="str">
        <f aca="false">"158-169"</f>
        <v>158-169</v>
      </c>
      <c r="I254" s="0" t="s">
        <v>13</v>
      </c>
      <c r="J254" s="0" t="str">
        <f aca="false">"198-209"</f>
        <v>198-209</v>
      </c>
      <c r="K254" s="0" t="str">
        <f aca="false">"0.72"</f>
        <v>0.72</v>
      </c>
      <c r="L254" s="0" t="str">
        <f aca="false">"10.23"</f>
        <v>10.23</v>
      </c>
      <c r="M254" s="0" t="str">
        <f aca="false">"19.2"</f>
        <v>19.2</v>
      </c>
    </row>
    <row r="255" customFormat="false" ht="12.8" hidden="false" customHeight="false" outlineLevel="0" collapsed="false">
      <c r="A255" s="0" t="s">
        <v>778</v>
      </c>
      <c r="B255" s="0" t="s">
        <v>9</v>
      </c>
      <c r="C255" s="0" t="str">
        <f aca="false">"203-214"</f>
        <v>203-214</v>
      </c>
      <c r="D255" s="0" t="s">
        <v>9</v>
      </c>
      <c r="E255" s="0" t="str">
        <f aca="false">"340-351"</f>
        <v>340-351</v>
      </c>
      <c r="F255" s="0" t="s">
        <v>1034</v>
      </c>
      <c r="G255" s="0" t="s">
        <v>9</v>
      </c>
      <c r="H255" s="0" t="str">
        <f aca="false">"232-243"</f>
        <v>232-243</v>
      </c>
      <c r="I255" s="0" t="s">
        <v>9</v>
      </c>
      <c r="J255" s="0" t="str">
        <f aca="false">"300-311"</f>
        <v>300-311</v>
      </c>
      <c r="K255" s="0" t="str">
        <f aca="false">"1.16"</f>
        <v>1.16</v>
      </c>
      <c r="L255" s="0" t="str">
        <f aca="false">"11.46"</f>
        <v>11.46</v>
      </c>
      <c r="M255" s="0" t="str">
        <f aca="false">"40.1"</f>
        <v>40.1</v>
      </c>
    </row>
    <row r="256" customFormat="false" ht="12.8" hidden="false" customHeight="false" outlineLevel="0" collapsed="false">
      <c r="A256" s="0" t="s">
        <v>778</v>
      </c>
      <c r="B256" s="0" t="s">
        <v>9</v>
      </c>
      <c r="C256" s="0" t="str">
        <f aca="false">"204-215"</f>
        <v>204-215</v>
      </c>
      <c r="D256" s="0" t="s">
        <v>9</v>
      </c>
      <c r="E256" s="0" t="str">
        <f aca="false">"335-346"</f>
        <v>335-346</v>
      </c>
      <c r="F256" s="0" t="s">
        <v>1035</v>
      </c>
      <c r="G256" s="0" t="s">
        <v>13</v>
      </c>
      <c r="H256" s="0" t="str">
        <f aca="false">"971-982"</f>
        <v>971-982</v>
      </c>
      <c r="I256" s="0" t="s">
        <v>13</v>
      </c>
      <c r="J256" s="0" t="str">
        <f aca="false">"918-929"</f>
        <v>918-929</v>
      </c>
      <c r="K256" s="0" t="str">
        <f aca="false">"1.04"</f>
        <v>1.04</v>
      </c>
      <c r="L256" s="0" t="str">
        <f aca="false">"10.25"</f>
        <v>10.25</v>
      </c>
      <c r="M256" s="0" t="str">
        <f aca="false">"27.6"</f>
        <v>27.6</v>
      </c>
    </row>
    <row r="257" customFormat="false" ht="12.8" hidden="false" customHeight="false" outlineLevel="0" collapsed="false">
      <c r="A257" s="0" t="s">
        <v>778</v>
      </c>
      <c r="B257" s="0" t="s">
        <v>9</v>
      </c>
      <c r="C257" s="0" t="str">
        <f aca="false">"209-220"</f>
        <v>209-220</v>
      </c>
      <c r="D257" s="0" t="s">
        <v>9</v>
      </c>
      <c r="E257" s="0" t="str">
        <f aca="false">"343-354"</f>
        <v>343-354</v>
      </c>
      <c r="F257" s="0" t="s">
        <v>1036</v>
      </c>
      <c r="G257" s="0" t="s">
        <v>9</v>
      </c>
      <c r="H257" s="0" t="str">
        <f aca="false">"74-85"</f>
        <v>74-85</v>
      </c>
      <c r="I257" s="0" t="s">
        <v>9</v>
      </c>
      <c r="J257" s="0" t="str">
        <f aca="false">"102-113"</f>
        <v>102-113</v>
      </c>
      <c r="K257" s="0" t="str">
        <f aca="false">"1.19"</f>
        <v>1.19</v>
      </c>
      <c r="L257" s="0" t="str">
        <f aca="false">"9.64"</f>
        <v>9.64</v>
      </c>
      <c r="M257" s="0" t="str">
        <f aca="false">"43.5"</f>
        <v>43.5</v>
      </c>
    </row>
    <row r="258" customFormat="false" ht="12.8" hidden="false" customHeight="false" outlineLevel="0" collapsed="false">
      <c r="A258" s="0" t="s">
        <v>778</v>
      </c>
      <c r="B258" s="0" t="s">
        <v>9</v>
      </c>
      <c r="C258" s="0" t="str">
        <f aca="false">"204-215"</f>
        <v>204-215</v>
      </c>
      <c r="D258" s="0" t="s">
        <v>9</v>
      </c>
      <c r="E258" s="0" t="str">
        <f aca="false">"338-349"</f>
        <v>338-349</v>
      </c>
      <c r="F258" s="0" t="s">
        <v>1037</v>
      </c>
      <c r="G258" s="0" t="s">
        <v>9</v>
      </c>
      <c r="H258" s="0" t="str">
        <f aca="false">"16-27"</f>
        <v>16-27</v>
      </c>
      <c r="I258" s="0" t="s">
        <v>9</v>
      </c>
      <c r="J258" s="0" t="str">
        <f aca="false">"113-124"</f>
        <v>113-124</v>
      </c>
      <c r="K258" s="0" t="str">
        <f aca="false">"1.14"</f>
        <v>1.14</v>
      </c>
      <c r="L258" s="0" t="str">
        <f aca="false">"9.45"</f>
        <v>9.45</v>
      </c>
      <c r="M258" s="0" t="str">
        <f aca="false">"27.5"</f>
        <v>27.5</v>
      </c>
    </row>
    <row r="259" customFormat="false" ht="12.8" hidden="false" customHeight="false" outlineLevel="0" collapsed="false">
      <c r="A259" s="0" t="s">
        <v>778</v>
      </c>
      <c r="B259" s="0" t="s">
        <v>9</v>
      </c>
      <c r="C259" s="0" t="str">
        <f aca="false">"204-215"</f>
        <v>204-215</v>
      </c>
      <c r="D259" s="0" t="s">
        <v>9</v>
      </c>
      <c r="E259" s="0" t="str">
        <f aca="false">"336-347"</f>
        <v>336-347</v>
      </c>
      <c r="F259" s="0" t="s">
        <v>1038</v>
      </c>
      <c r="G259" s="0" t="s">
        <v>9</v>
      </c>
      <c r="H259" s="0" t="str">
        <f aca="false">"371-382"</f>
        <v>371-382</v>
      </c>
      <c r="I259" s="0" t="s">
        <v>9</v>
      </c>
      <c r="J259" s="0" t="str">
        <f aca="false">"406-417"</f>
        <v>406-417</v>
      </c>
      <c r="K259" s="0" t="str">
        <f aca="false">"0.76"</f>
        <v>0.76</v>
      </c>
      <c r="L259" s="0" t="str">
        <f aca="false">"9.76"</f>
        <v>9.76</v>
      </c>
      <c r="M259" s="0" t="str">
        <f aca="false">"15.6"</f>
        <v>15.6</v>
      </c>
    </row>
    <row r="260" customFormat="false" ht="12.8" hidden="false" customHeight="false" outlineLevel="0" collapsed="false">
      <c r="A260" s="0" t="s">
        <v>778</v>
      </c>
      <c r="B260" s="0" t="s">
        <v>9</v>
      </c>
      <c r="C260" s="0" t="str">
        <f aca="false">"207-218"</f>
        <v>207-218</v>
      </c>
      <c r="D260" s="0" t="s">
        <v>9</v>
      </c>
      <c r="E260" s="0" t="str">
        <f aca="false">"339-350"</f>
        <v>339-350</v>
      </c>
      <c r="F260" s="0" t="s">
        <v>1039</v>
      </c>
      <c r="G260" s="0" t="s">
        <v>13</v>
      </c>
      <c r="H260" s="0" t="str">
        <f aca="false">"102-113"</f>
        <v>102-113</v>
      </c>
      <c r="I260" s="0" t="s">
        <v>13</v>
      </c>
      <c r="J260" s="0" t="str">
        <f aca="false">"35-46"</f>
        <v>35-46</v>
      </c>
      <c r="K260" s="0" t="str">
        <f aca="false">"0.83"</f>
        <v>0.83</v>
      </c>
      <c r="L260" s="0" t="str">
        <f aca="false">"9.32"</f>
        <v>9.32</v>
      </c>
      <c r="M260" s="0" t="str">
        <f aca="false">"30.9"</f>
        <v>30.9</v>
      </c>
    </row>
    <row r="261" customFormat="false" ht="12.8" hidden="false" customHeight="false" outlineLevel="0" collapsed="false">
      <c r="A261" s="0" t="s">
        <v>778</v>
      </c>
      <c r="B261" s="0" t="s">
        <v>9</v>
      </c>
      <c r="C261" s="0" t="str">
        <f aca="false">"207-218"</f>
        <v>207-218</v>
      </c>
      <c r="D261" s="0" t="s">
        <v>9</v>
      </c>
      <c r="E261" s="0" t="str">
        <f aca="false">"339-350"</f>
        <v>339-350</v>
      </c>
      <c r="F261" s="0" t="s">
        <v>1040</v>
      </c>
      <c r="G261" s="0" t="s">
        <v>13</v>
      </c>
      <c r="H261" s="0" t="str">
        <f aca="false">"107-118"</f>
        <v>107-118</v>
      </c>
      <c r="I261" s="0" t="s">
        <v>13</v>
      </c>
      <c r="J261" s="0" t="str">
        <f aca="false">"38-49"</f>
        <v>38-49</v>
      </c>
      <c r="K261" s="0" t="str">
        <f aca="false">"1.02"</f>
        <v>1.02</v>
      </c>
      <c r="L261" s="0" t="str">
        <f aca="false">"8.94"</f>
        <v>8.94</v>
      </c>
      <c r="M261" s="0" t="str">
        <f aca="false">"24.3"</f>
        <v>24.3</v>
      </c>
    </row>
    <row r="262" customFormat="false" ht="12.8" hidden="false" customHeight="false" outlineLevel="0" collapsed="false">
      <c r="A262" s="0" t="s">
        <v>778</v>
      </c>
      <c r="B262" s="0" t="s">
        <v>9</v>
      </c>
      <c r="C262" s="0" t="str">
        <f aca="false">"206-217"</f>
        <v>206-217</v>
      </c>
      <c r="D262" s="0" t="s">
        <v>9</v>
      </c>
      <c r="E262" s="0" t="str">
        <f aca="false">"337-348"</f>
        <v>337-348</v>
      </c>
      <c r="F262" s="0" t="s">
        <v>1041</v>
      </c>
      <c r="G262" s="0" t="s">
        <v>120</v>
      </c>
      <c r="H262" s="0" t="str">
        <f aca="false">"574-585"</f>
        <v>574-585</v>
      </c>
      <c r="I262" s="0" t="s">
        <v>120</v>
      </c>
      <c r="J262" s="0" t="str">
        <f aca="false">"510-521"</f>
        <v>510-521</v>
      </c>
      <c r="K262" s="0" t="str">
        <f aca="false">"1.07"</f>
        <v>1.07</v>
      </c>
      <c r="L262" s="0" t="str">
        <f aca="false">"9.06"</f>
        <v>9.06</v>
      </c>
      <c r="M262" s="0" t="str">
        <f aca="false">"30.7"</f>
        <v>30.7</v>
      </c>
    </row>
    <row r="263" customFormat="false" ht="12.8" hidden="false" customHeight="false" outlineLevel="0" collapsed="false">
      <c r="A263" s="0" t="s">
        <v>778</v>
      </c>
      <c r="B263" s="0" t="s">
        <v>9</v>
      </c>
      <c r="C263" s="0" t="str">
        <f aca="false">"207-218"</f>
        <v>207-218</v>
      </c>
      <c r="D263" s="0" t="s">
        <v>9</v>
      </c>
      <c r="E263" s="0" t="str">
        <f aca="false">"338-349"</f>
        <v>338-349</v>
      </c>
      <c r="F263" s="0" t="s">
        <v>1042</v>
      </c>
      <c r="G263" s="0" t="s">
        <v>9</v>
      </c>
      <c r="H263" s="0" t="str">
        <f aca="false">"352-363"</f>
        <v>352-363</v>
      </c>
      <c r="I263" s="0" t="s">
        <v>9</v>
      </c>
      <c r="J263" s="0" t="str">
        <f aca="false">"408-419"</f>
        <v>408-419</v>
      </c>
      <c r="K263" s="0" t="str">
        <f aca="false">"1.25"</f>
        <v>1.25</v>
      </c>
      <c r="L263" s="0" t="str">
        <f aca="false">"11.41"</f>
        <v>11.41</v>
      </c>
      <c r="M263" s="0" t="str">
        <f aca="false">"39.6"</f>
        <v>39.6</v>
      </c>
    </row>
    <row r="264" customFormat="false" ht="12.8" hidden="false" customHeight="false" outlineLevel="0" collapsed="false">
      <c r="A264" s="0" t="s">
        <v>778</v>
      </c>
      <c r="B264" s="0" t="s">
        <v>9</v>
      </c>
      <c r="C264" s="0" t="str">
        <f aca="false">"204-215"</f>
        <v>204-215</v>
      </c>
      <c r="D264" s="0" t="s">
        <v>9</v>
      </c>
      <c r="E264" s="0" t="str">
        <f aca="false">"340-351"</f>
        <v>340-351</v>
      </c>
      <c r="F264" s="0" t="s">
        <v>1043</v>
      </c>
      <c r="G264" s="0" t="s">
        <v>13</v>
      </c>
      <c r="H264" s="0" t="str">
        <f aca="false">"111-122"</f>
        <v>111-122</v>
      </c>
      <c r="I264" s="0" t="s">
        <v>13</v>
      </c>
      <c r="J264" s="0" t="str">
        <f aca="false">"355-366"</f>
        <v>355-366</v>
      </c>
      <c r="K264" s="0" t="str">
        <f aca="false">"1.16"</f>
        <v>1.16</v>
      </c>
      <c r="L264" s="0" t="str">
        <f aca="false">"10.29"</f>
        <v>10.29</v>
      </c>
      <c r="M264" s="0" t="str">
        <f aca="false">"47.0"</f>
        <v>47.0</v>
      </c>
    </row>
    <row r="265" customFormat="false" ht="12.8" hidden="false" customHeight="false" outlineLevel="0" collapsed="false">
      <c r="A265" s="0" t="s">
        <v>778</v>
      </c>
      <c r="B265" s="0" t="s">
        <v>9</v>
      </c>
      <c r="C265" s="0" t="str">
        <f aca="false">"205-216"</f>
        <v>205-216</v>
      </c>
      <c r="D265" s="0" t="s">
        <v>9</v>
      </c>
      <c r="E265" s="0" t="str">
        <f aca="false">"333-344"</f>
        <v>333-344</v>
      </c>
      <c r="F265" s="0" t="s">
        <v>1044</v>
      </c>
      <c r="G265" s="0" t="s">
        <v>9</v>
      </c>
      <c r="H265" s="0" t="str">
        <f aca="false">"2-13"</f>
        <v>2-13</v>
      </c>
      <c r="I265" s="0" t="s">
        <v>9</v>
      </c>
      <c r="J265" s="0" t="str">
        <f aca="false">"383-394"</f>
        <v>383-394</v>
      </c>
      <c r="K265" s="0" t="str">
        <f aca="false">"1.25"</f>
        <v>1.25</v>
      </c>
      <c r="L265" s="0" t="str">
        <f aca="false">"11.90"</f>
        <v>11.90</v>
      </c>
      <c r="M265" s="0" t="str">
        <f aca="false">"15.4"</f>
        <v>15.4</v>
      </c>
    </row>
    <row r="266" customFormat="false" ht="12.8" hidden="false" customHeight="false" outlineLevel="0" collapsed="false">
      <c r="A266" s="0" t="s">
        <v>778</v>
      </c>
      <c r="B266" s="0" t="s">
        <v>9</v>
      </c>
      <c r="C266" s="0" t="str">
        <f aca="false">"206-217"</f>
        <v>206-217</v>
      </c>
      <c r="D266" s="0" t="s">
        <v>9</v>
      </c>
      <c r="E266" s="0" t="str">
        <f aca="false">"335-346"</f>
        <v>335-346</v>
      </c>
      <c r="F266" s="0" t="s">
        <v>1045</v>
      </c>
      <c r="G266" s="0" t="s">
        <v>9</v>
      </c>
      <c r="H266" s="0" t="str">
        <f aca="false">"70-81"</f>
        <v>70-81</v>
      </c>
      <c r="I266" s="0" t="s">
        <v>9</v>
      </c>
      <c r="J266" s="0" t="str">
        <f aca="false">"36-47"</f>
        <v>36-47</v>
      </c>
      <c r="K266" s="0" t="str">
        <f aca="false">"1.17"</f>
        <v>1.17</v>
      </c>
      <c r="L266" s="0" t="str">
        <f aca="false">"12.51"</f>
        <v>12.51</v>
      </c>
      <c r="M266" s="0" t="str">
        <f aca="false">"18.8"</f>
        <v>18.8</v>
      </c>
    </row>
    <row r="267" customFormat="false" ht="12.8" hidden="false" customHeight="false" outlineLevel="0" collapsed="false">
      <c r="A267" s="0" t="s">
        <v>778</v>
      </c>
      <c r="B267" s="0" t="s">
        <v>9</v>
      </c>
      <c r="C267" s="0" t="str">
        <f aca="false">"204-215"</f>
        <v>204-215</v>
      </c>
      <c r="D267" s="0" t="s">
        <v>9</v>
      </c>
      <c r="E267" s="0" t="str">
        <f aca="false">"339-350"</f>
        <v>339-350</v>
      </c>
      <c r="F267" s="0" t="s">
        <v>1046</v>
      </c>
      <c r="G267" s="0" t="s">
        <v>9</v>
      </c>
      <c r="H267" s="0" t="str">
        <f aca="false">"145-156"</f>
        <v>145-156</v>
      </c>
      <c r="I267" s="0" t="s">
        <v>9</v>
      </c>
      <c r="J267" s="0" t="str">
        <f aca="false">"192-203"</f>
        <v>192-203</v>
      </c>
      <c r="K267" s="0" t="str">
        <f aca="false">"0.98"</f>
        <v>0.98</v>
      </c>
      <c r="L267" s="0" t="str">
        <f aca="false">"10.77"</f>
        <v>10.77</v>
      </c>
      <c r="M267" s="0" t="str">
        <f aca="false">"19.6"</f>
        <v>19.6</v>
      </c>
    </row>
    <row r="268" customFormat="false" ht="12.8" hidden="false" customHeight="false" outlineLevel="0" collapsed="false">
      <c r="A268" s="0" t="s">
        <v>778</v>
      </c>
      <c r="B268" s="0" t="s">
        <v>9</v>
      </c>
      <c r="C268" s="0" t="str">
        <f aca="false">"205-216"</f>
        <v>205-216</v>
      </c>
      <c r="D268" s="0" t="s">
        <v>9</v>
      </c>
      <c r="E268" s="0" t="str">
        <f aca="false">"340-351"</f>
        <v>340-351</v>
      </c>
      <c r="F268" s="0" t="s">
        <v>1047</v>
      </c>
      <c r="G268" s="0" t="s">
        <v>9</v>
      </c>
      <c r="H268" s="0" t="str">
        <f aca="false">"156-167"</f>
        <v>156-167</v>
      </c>
      <c r="I268" s="0" t="s">
        <v>9</v>
      </c>
      <c r="J268" s="0" t="str">
        <f aca="false">"212-223"</f>
        <v>212-223</v>
      </c>
      <c r="K268" s="0" t="str">
        <f aca="false">"1.07"</f>
        <v>1.07</v>
      </c>
      <c r="L268" s="0" t="str">
        <f aca="false">"11.15"</f>
        <v>11.15</v>
      </c>
      <c r="M268" s="0" t="str">
        <f aca="false">"14.9"</f>
        <v>14.9</v>
      </c>
    </row>
    <row r="269" customFormat="false" ht="12.8" hidden="false" customHeight="false" outlineLevel="0" collapsed="false">
      <c r="A269" s="0" t="s">
        <v>778</v>
      </c>
      <c r="B269" s="0" t="s">
        <v>9</v>
      </c>
      <c r="C269" s="0" t="str">
        <f aca="false">"209-220"</f>
        <v>209-220</v>
      </c>
      <c r="D269" s="0" t="s">
        <v>9</v>
      </c>
      <c r="E269" s="0" t="str">
        <f aca="false">"335-346"</f>
        <v>335-346</v>
      </c>
      <c r="F269" s="0" t="s">
        <v>1048</v>
      </c>
      <c r="G269" s="0" t="s">
        <v>9</v>
      </c>
      <c r="H269" s="0" t="str">
        <f aca="false">"287-298"</f>
        <v>287-298</v>
      </c>
      <c r="I269" s="0" t="s">
        <v>9</v>
      </c>
      <c r="J269" s="0" t="str">
        <f aca="false">"248-259"</f>
        <v>248-259</v>
      </c>
      <c r="K269" s="0" t="str">
        <f aca="false">"0.71"</f>
        <v>0.71</v>
      </c>
      <c r="L269" s="0" t="str">
        <f aca="false">"14.29"</f>
        <v>14.29</v>
      </c>
      <c r="M269" s="0" t="str">
        <f aca="false">"32.1"</f>
        <v>32.1</v>
      </c>
    </row>
    <row r="270" customFormat="false" ht="12.8" hidden="false" customHeight="false" outlineLevel="0" collapsed="false">
      <c r="A270" s="0" t="s">
        <v>778</v>
      </c>
      <c r="B270" s="0" t="s">
        <v>9</v>
      </c>
      <c r="C270" s="0" t="str">
        <f aca="false">"209-220"</f>
        <v>209-220</v>
      </c>
      <c r="D270" s="0" t="s">
        <v>9</v>
      </c>
      <c r="E270" s="0" t="str">
        <f aca="false">"340-351"</f>
        <v>340-351</v>
      </c>
      <c r="F270" s="0" t="s">
        <v>1049</v>
      </c>
      <c r="G270" s="0" t="s">
        <v>70</v>
      </c>
      <c r="H270" s="0" t="str">
        <f aca="false">"329-340"</f>
        <v>329-340</v>
      </c>
      <c r="I270" s="0" t="s">
        <v>13</v>
      </c>
      <c r="J270" s="0" t="str">
        <f aca="false">"287-298"</f>
        <v>287-298</v>
      </c>
      <c r="K270" s="0" t="str">
        <f aca="false">"1.09"</f>
        <v>1.09</v>
      </c>
      <c r="L270" s="0" t="str">
        <f aca="false">"10.68"</f>
        <v>10.68</v>
      </c>
      <c r="M270" s="0" t="str">
        <f aca="false">"32.7"</f>
        <v>32.7</v>
      </c>
    </row>
    <row r="271" customFormat="false" ht="12.8" hidden="false" customHeight="false" outlineLevel="0" collapsed="false">
      <c r="A271" s="0" t="s">
        <v>778</v>
      </c>
      <c r="B271" s="0" t="s">
        <v>9</v>
      </c>
      <c r="C271" s="0" t="str">
        <f aca="false">"205-216"</f>
        <v>205-216</v>
      </c>
      <c r="D271" s="0" t="s">
        <v>9</v>
      </c>
      <c r="E271" s="0" t="str">
        <f aca="false">"340-351"</f>
        <v>340-351</v>
      </c>
      <c r="F271" s="0" t="s">
        <v>1050</v>
      </c>
      <c r="G271" s="0" t="s">
        <v>9</v>
      </c>
      <c r="H271" s="0" t="str">
        <f aca="false">"84-95"</f>
        <v>84-95</v>
      </c>
      <c r="I271" s="0" t="s">
        <v>9</v>
      </c>
      <c r="J271" s="0" t="str">
        <f aca="false">"170-181"</f>
        <v>170-181</v>
      </c>
      <c r="K271" s="0" t="str">
        <f aca="false">"1.08"</f>
        <v>1.08</v>
      </c>
      <c r="L271" s="0" t="str">
        <f aca="false">"10.96"</f>
        <v>10.96</v>
      </c>
      <c r="M271" s="0" t="str">
        <f aca="false">"28.7"</f>
        <v>28.7</v>
      </c>
    </row>
    <row r="272" customFormat="false" ht="12.8" hidden="false" customHeight="false" outlineLevel="0" collapsed="false">
      <c r="A272" s="0" t="s">
        <v>778</v>
      </c>
      <c r="B272" s="0" t="s">
        <v>9</v>
      </c>
      <c r="C272" s="0" t="str">
        <f aca="false">"205-216"</f>
        <v>205-216</v>
      </c>
      <c r="D272" s="0" t="s">
        <v>9</v>
      </c>
      <c r="E272" s="0" t="str">
        <f aca="false">"337-348"</f>
        <v>337-348</v>
      </c>
      <c r="F272" s="0" t="s">
        <v>1051</v>
      </c>
      <c r="G272" s="0" t="s">
        <v>13</v>
      </c>
      <c r="H272" s="0" t="str">
        <f aca="false">"574-585"</f>
        <v>574-585</v>
      </c>
      <c r="I272" s="0" t="s">
        <v>13</v>
      </c>
      <c r="J272" s="0" t="str">
        <f aca="false">"535-546"</f>
        <v>535-546</v>
      </c>
      <c r="K272" s="0" t="str">
        <f aca="false">"0.97"</f>
        <v>0.97</v>
      </c>
      <c r="L272" s="0" t="str">
        <f aca="false">"9.06"</f>
        <v>9.06</v>
      </c>
      <c r="M272" s="0" t="str">
        <f aca="false">"16.3"</f>
        <v>16.3</v>
      </c>
    </row>
    <row r="273" customFormat="false" ht="12.8" hidden="false" customHeight="false" outlineLevel="0" collapsed="false">
      <c r="A273" s="0" t="s">
        <v>778</v>
      </c>
      <c r="B273" s="0" t="s">
        <v>9</v>
      </c>
      <c r="C273" s="0" t="str">
        <f aca="false">"204-215"</f>
        <v>204-215</v>
      </c>
      <c r="D273" s="0" t="s">
        <v>9</v>
      </c>
      <c r="E273" s="0" t="str">
        <f aca="false">"335-346"</f>
        <v>335-346</v>
      </c>
      <c r="F273" s="0" t="s">
        <v>1052</v>
      </c>
      <c r="G273" s="0" t="s">
        <v>9</v>
      </c>
      <c r="H273" s="0" t="str">
        <f aca="false">"598-609"</f>
        <v>598-609</v>
      </c>
      <c r="I273" s="0" t="s">
        <v>9</v>
      </c>
      <c r="J273" s="0" t="str">
        <f aca="false">"661-672"</f>
        <v>661-672</v>
      </c>
      <c r="K273" s="0" t="str">
        <f aca="false">"1.18"</f>
        <v>1.18</v>
      </c>
      <c r="L273" s="0" t="str">
        <f aca="false">"9.10"</f>
        <v>9.10</v>
      </c>
      <c r="M273" s="0" t="str">
        <f aca="false">"24.3"</f>
        <v>24.3</v>
      </c>
    </row>
    <row r="274" customFormat="false" ht="12.8" hidden="false" customHeight="false" outlineLevel="0" collapsed="false">
      <c r="A274" s="0" t="s">
        <v>778</v>
      </c>
      <c r="B274" s="0" t="s">
        <v>9</v>
      </c>
      <c r="C274" s="0" t="str">
        <f aca="false">"206-217"</f>
        <v>206-217</v>
      </c>
      <c r="D274" s="0" t="s">
        <v>9</v>
      </c>
      <c r="E274" s="0" t="str">
        <f aca="false">"333-344"</f>
        <v>333-344</v>
      </c>
      <c r="F274" s="0" t="s">
        <v>1053</v>
      </c>
      <c r="G274" s="0" t="s">
        <v>9</v>
      </c>
      <c r="H274" s="0" t="str">
        <f aca="false">"138-149"</f>
        <v>138-149</v>
      </c>
      <c r="I274" s="0" t="s">
        <v>9</v>
      </c>
      <c r="J274" s="0" t="str">
        <f aca="false">"194-205"</f>
        <v>194-205</v>
      </c>
      <c r="K274" s="0" t="str">
        <f aca="false">"0.87"</f>
        <v>0.87</v>
      </c>
      <c r="L274" s="0" t="str">
        <f aca="false">"13.36"</f>
        <v>13.36</v>
      </c>
      <c r="M274" s="0" t="str">
        <f aca="false">"19.4"</f>
        <v>19.4</v>
      </c>
    </row>
    <row r="275" customFormat="false" ht="12.8" hidden="false" customHeight="false" outlineLevel="0" collapsed="false">
      <c r="A275" s="0" t="s">
        <v>778</v>
      </c>
      <c r="B275" s="0" t="s">
        <v>9</v>
      </c>
      <c r="C275" s="0" t="str">
        <f aca="false">"201-212"</f>
        <v>201-212</v>
      </c>
      <c r="D275" s="0" t="s">
        <v>9</v>
      </c>
      <c r="E275" s="0" t="str">
        <f aca="false">"339-350"</f>
        <v>339-350</v>
      </c>
      <c r="F275" s="0" t="s">
        <v>1054</v>
      </c>
      <c r="G275" s="0" t="s">
        <v>9</v>
      </c>
      <c r="H275" s="0" t="str">
        <f aca="false">"972-983"</f>
        <v>972-983</v>
      </c>
      <c r="I275" s="0" t="s">
        <v>9</v>
      </c>
      <c r="J275" s="0" t="str">
        <f aca="false">"1014-1025"</f>
        <v>1014-1025</v>
      </c>
      <c r="K275" s="0" t="str">
        <f aca="false">"0.86"</f>
        <v>0.86</v>
      </c>
      <c r="L275" s="0" t="str">
        <f aca="false">"11.92"</f>
        <v>11.92</v>
      </c>
      <c r="M275" s="0" t="str">
        <f aca="false">"23.1"</f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92857142857143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8265306122449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1055</v>
      </c>
      <c r="B2" s="0" t="s">
        <v>9</v>
      </c>
      <c r="C2" s="0" t="str">
        <f aca="false">"616-627"</f>
        <v>616-627</v>
      </c>
      <c r="D2" s="0" t="s">
        <v>9</v>
      </c>
      <c r="E2" s="0" t="str">
        <f aca="false">"673-684"</f>
        <v>673-684</v>
      </c>
      <c r="F2" s="0" t="s">
        <v>1056</v>
      </c>
      <c r="G2" s="0" t="s">
        <v>9</v>
      </c>
      <c r="H2" s="0" t="str">
        <f aca="false">"248-259"</f>
        <v>248-259</v>
      </c>
      <c r="I2" s="0" t="s">
        <v>9</v>
      </c>
      <c r="J2" s="0" t="str">
        <f aca="false">"264-275"</f>
        <v>264-275</v>
      </c>
      <c r="K2" s="0" t="str">
        <f aca="false">"1.18"</f>
        <v>1.18</v>
      </c>
      <c r="L2" s="0" t="str">
        <f aca="false">"10.96"</f>
        <v>10.96</v>
      </c>
      <c r="M2" s="0" t="str">
        <f aca="false">"138.4"</f>
        <v>138.4</v>
      </c>
    </row>
    <row r="3" customFormat="false" ht="12.8" hidden="false" customHeight="false" outlineLevel="0" collapsed="false">
      <c r="A3" s="0" t="s">
        <v>1055</v>
      </c>
      <c r="B3" s="0" t="s">
        <v>9</v>
      </c>
      <c r="C3" s="0" t="str">
        <f aca="false">"618-629"</f>
        <v>618-629</v>
      </c>
      <c r="D3" s="0" t="s">
        <v>9</v>
      </c>
      <c r="E3" s="0" t="str">
        <f aca="false">"673-684"</f>
        <v>673-684</v>
      </c>
      <c r="F3" s="0" t="s">
        <v>1057</v>
      </c>
      <c r="G3" s="0" t="s">
        <v>9</v>
      </c>
      <c r="H3" s="0" t="str">
        <f aca="false">"128-139"</f>
        <v>128-139</v>
      </c>
      <c r="I3" s="0" t="s">
        <v>9</v>
      </c>
      <c r="J3" s="0" t="str">
        <f aca="false">"103-114"</f>
        <v>103-114</v>
      </c>
      <c r="K3" s="0" t="str">
        <f aca="false">"1.24"</f>
        <v>1.24</v>
      </c>
      <c r="L3" s="0" t="str">
        <f aca="false">"10.52"</f>
        <v>10.52</v>
      </c>
      <c r="M3" s="0" t="str">
        <f aca="false">"143.7"</f>
        <v>143.7</v>
      </c>
    </row>
    <row r="4" customFormat="false" ht="12.8" hidden="false" customHeight="false" outlineLevel="0" collapsed="false">
      <c r="A4" s="0" t="s">
        <v>1055</v>
      </c>
      <c r="B4" s="0" t="s">
        <v>9</v>
      </c>
      <c r="C4" s="0" t="str">
        <f aca="false">"614-625"</f>
        <v>614-625</v>
      </c>
      <c r="D4" s="0" t="s">
        <v>9</v>
      </c>
      <c r="E4" s="0" t="str">
        <f aca="false">"676-687"</f>
        <v>676-687</v>
      </c>
      <c r="F4" s="0" t="s">
        <v>1058</v>
      </c>
      <c r="G4" s="0" t="s">
        <v>120</v>
      </c>
      <c r="H4" s="0" t="str">
        <f aca="false">"54-65"</f>
        <v>54-65</v>
      </c>
      <c r="I4" s="0" t="s">
        <v>13</v>
      </c>
      <c r="J4" s="0" t="str">
        <f aca="false">"92-103"</f>
        <v>92-103</v>
      </c>
      <c r="K4" s="0" t="str">
        <f aca="false">"1.17"</f>
        <v>1.17</v>
      </c>
      <c r="L4" s="0" t="str">
        <f aca="false">"11.02"</f>
        <v>11.02</v>
      </c>
      <c r="M4" s="0" t="str">
        <f aca="false">"132.5"</f>
        <v>132.5</v>
      </c>
    </row>
    <row r="5" customFormat="false" ht="12.8" hidden="false" customHeight="false" outlineLevel="0" collapsed="false">
      <c r="A5" s="0" t="s">
        <v>1055</v>
      </c>
      <c r="B5" s="0" t="s">
        <v>9</v>
      </c>
      <c r="C5" s="0" t="str">
        <f aca="false">"614-625"</f>
        <v>614-625</v>
      </c>
      <c r="D5" s="0" t="s">
        <v>9</v>
      </c>
      <c r="E5" s="0" t="str">
        <f aca="false">"676-687"</f>
        <v>676-687</v>
      </c>
      <c r="F5" s="0" t="s">
        <v>1059</v>
      </c>
      <c r="G5" s="0" t="s">
        <v>9</v>
      </c>
      <c r="H5" s="0" t="str">
        <f aca="false">"114-125"</f>
        <v>114-125</v>
      </c>
      <c r="I5" s="0" t="s">
        <v>9</v>
      </c>
      <c r="J5" s="0" t="str">
        <f aca="false">"101-112"</f>
        <v>101-112</v>
      </c>
      <c r="K5" s="0" t="str">
        <f aca="false">"0.83"</f>
        <v>0.83</v>
      </c>
      <c r="L5" s="0" t="str">
        <f aca="false">"10.76"</f>
        <v>10.76</v>
      </c>
      <c r="M5" s="0" t="str">
        <f aca="false">"136.6"</f>
        <v>136.6</v>
      </c>
    </row>
    <row r="6" customFormat="false" ht="12.8" hidden="false" customHeight="false" outlineLevel="0" collapsed="false">
      <c r="A6" s="0" t="s">
        <v>1055</v>
      </c>
      <c r="B6" s="0" t="s">
        <v>9</v>
      </c>
      <c r="C6" s="0" t="str">
        <f aca="false">"618-629"</f>
        <v>618-629</v>
      </c>
      <c r="D6" s="0" t="s">
        <v>9</v>
      </c>
      <c r="E6" s="0" t="str">
        <f aca="false">"673-684"</f>
        <v>673-684</v>
      </c>
      <c r="F6" s="0" t="s">
        <v>1060</v>
      </c>
      <c r="G6" s="0" t="s">
        <v>9</v>
      </c>
      <c r="H6" s="0" t="str">
        <f aca="false">"201-212"</f>
        <v>201-212</v>
      </c>
      <c r="I6" s="0" t="s">
        <v>9</v>
      </c>
      <c r="J6" s="0" t="str">
        <f aca="false">"179-190"</f>
        <v>179-190</v>
      </c>
      <c r="K6" s="0" t="str">
        <f aca="false">"0.72"</f>
        <v>0.72</v>
      </c>
      <c r="L6" s="0" t="str">
        <f aca="false">"8.80"</f>
        <v>8.80</v>
      </c>
      <c r="M6" s="0" t="str">
        <f aca="false">"131.8"</f>
        <v>131.8</v>
      </c>
    </row>
    <row r="7" customFormat="false" ht="12.8" hidden="false" customHeight="false" outlineLevel="0" collapsed="false">
      <c r="A7" s="0" t="s">
        <v>1055</v>
      </c>
      <c r="B7" s="0" t="s">
        <v>9</v>
      </c>
      <c r="C7" s="0" t="str">
        <f aca="false">"615-626"</f>
        <v>615-626</v>
      </c>
      <c r="D7" s="0" t="s">
        <v>9</v>
      </c>
      <c r="E7" s="0" t="str">
        <f aca="false">"677-688"</f>
        <v>677-688</v>
      </c>
      <c r="F7" s="0" t="s">
        <v>1061</v>
      </c>
      <c r="G7" s="0" t="s">
        <v>9</v>
      </c>
      <c r="H7" s="0" t="str">
        <f aca="false">"179-190"</f>
        <v>179-190</v>
      </c>
      <c r="I7" s="0" t="s">
        <v>9</v>
      </c>
      <c r="J7" s="0" t="str">
        <f aca="false">"239-250"</f>
        <v>239-250</v>
      </c>
      <c r="K7" s="0" t="str">
        <f aca="false">"0.95"</f>
        <v>0.95</v>
      </c>
      <c r="L7" s="0" t="str">
        <f aca="false">"10.55"</f>
        <v>10.55</v>
      </c>
      <c r="M7" s="0" t="str">
        <f aca="false">"139.8"</f>
        <v>139.8</v>
      </c>
    </row>
    <row r="8" customFormat="false" ht="12.8" hidden="false" customHeight="false" outlineLevel="0" collapsed="false">
      <c r="A8" s="0" t="s">
        <v>1055</v>
      </c>
      <c r="B8" s="0" t="s">
        <v>9</v>
      </c>
      <c r="C8" s="0" t="str">
        <f aca="false">"615-626"</f>
        <v>615-626</v>
      </c>
      <c r="D8" s="0" t="s">
        <v>9</v>
      </c>
      <c r="E8" s="0" t="str">
        <f aca="false">"676-687"</f>
        <v>676-687</v>
      </c>
      <c r="F8" s="0" t="s">
        <v>1062</v>
      </c>
      <c r="G8" s="0" t="s">
        <v>9</v>
      </c>
      <c r="H8" s="0" t="str">
        <f aca="false">"172-183"</f>
        <v>172-183</v>
      </c>
      <c r="I8" s="0" t="s">
        <v>9</v>
      </c>
      <c r="J8" s="0" t="str">
        <f aca="false">"53-64"</f>
        <v>53-64</v>
      </c>
      <c r="K8" s="0" t="str">
        <f aca="false">"0.67"</f>
        <v>0.67</v>
      </c>
      <c r="L8" s="0" t="str">
        <f aca="false">"9.74"</f>
        <v>9.74</v>
      </c>
      <c r="M8" s="0" t="str">
        <f aca="false">"144.9"</f>
        <v>144.9</v>
      </c>
    </row>
    <row r="9" customFormat="false" ht="12.8" hidden="false" customHeight="false" outlineLevel="0" collapsed="false">
      <c r="A9" s="0" t="s">
        <v>1055</v>
      </c>
      <c r="B9" s="0" t="s">
        <v>9</v>
      </c>
      <c r="C9" s="0" t="str">
        <f aca="false">"615-626"</f>
        <v>615-626</v>
      </c>
      <c r="D9" s="0" t="s">
        <v>9</v>
      </c>
      <c r="E9" s="0" t="str">
        <f aca="false">"676-687"</f>
        <v>676-687</v>
      </c>
      <c r="F9" s="0" t="s">
        <v>1063</v>
      </c>
      <c r="G9" s="0" t="s">
        <v>9</v>
      </c>
      <c r="H9" s="0" t="str">
        <f aca="false">"189-200"</f>
        <v>189-200</v>
      </c>
      <c r="I9" s="0" t="s">
        <v>9</v>
      </c>
      <c r="J9" s="0" t="str">
        <f aca="false">"226-237"</f>
        <v>226-237</v>
      </c>
      <c r="K9" s="0" t="str">
        <f aca="false">"0.77"</f>
        <v>0.77</v>
      </c>
      <c r="L9" s="0" t="str">
        <f aca="false">"9.38"</f>
        <v>9.38</v>
      </c>
      <c r="M9" s="0" t="str">
        <f aca="false">"125.8"</f>
        <v>125.8</v>
      </c>
    </row>
    <row r="10" customFormat="false" ht="12.8" hidden="false" customHeight="false" outlineLevel="0" collapsed="false">
      <c r="A10" s="0" t="s">
        <v>1055</v>
      </c>
      <c r="B10" s="0" t="s">
        <v>9</v>
      </c>
      <c r="C10" s="0" t="str">
        <f aca="false">"615-626"</f>
        <v>615-626</v>
      </c>
      <c r="D10" s="0" t="s">
        <v>9</v>
      </c>
      <c r="E10" s="0" t="str">
        <f aca="false">"675-686"</f>
        <v>675-686</v>
      </c>
      <c r="F10" s="0" t="s">
        <v>1064</v>
      </c>
      <c r="G10" s="0" t="s">
        <v>9</v>
      </c>
      <c r="H10" s="0" t="str">
        <f aca="false">"98-109"</f>
        <v>98-109</v>
      </c>
      <c r="I10" s="0" t="s">
        <v>9</v>
      </c>
      <c r="J10" s="0" t="str">
        <f aca="false">"171-182"</f>
        <v>171-182</v>
      </c>
      <c r="K10" s="0" t="str">
        <f aca="false">"1.10"</f>
        <v>1.10</v>
      </c>
      <c r="L10" s="0" t="str">
        <f aca="false">"9.57"</f>
        <v>9.57</v>
      </c>
      <c r="M10" s="0" t="str">
        <f aca="false">"123.8"</f>
        <v>123.8</v>
      </c>
    </row>
    <row r="11" customFormat="false" ht="12.8" hidden="false" customHeight="false" outlineLevel="0" collapsed="false">
      <c r="A11" s="0" t="s">
        <v>1055</v>
      </c>
      <c r="B11" s="0" t="s">
        <v>9</v>
      </c>
      <c r="C11" s="0" t="str">
        <f aca="false">"618-629"</f>
        <v>618-629</v>
      </c>
      <c r="D11" s="0" t="s">
        <v>9</v>
      </c>
      <c r="E11" s="0" t="str">
        <f aca="false">"673-684"</f>
        <v>673-684</v>
      </c>
      <c r="F11" s="0" t="s">
        <v>1065</v>
      </c>
      <c r="G11" s="0" t="s">
        <v>9</v>
      </c>
      <c r="H11" s="0" t="str">
        <f aca="false">"95-106"</f>
        <v>95-106</v>
      </c>
      <c r="I11" s="0" t="s">
        <v>9</v>
      </c>
      <c r="J11" s="0" t="str">
        <f aca="false">"122-133"</f>
        <v>122-133</v>
      </c>
      <c r="K11" s="0" t="str">
        <f aca="false">"1.11"</f>
        <v>1.11</v>
      </c>
      <c r="L11" s="0" t="str">
        <f aca="false">"10.48"</f>
        <v>10.48</v>
      </c>
      <c r="M11" s="0" t="str">
        <f aca="false">"144.1"</f>
        <v>144.1</v>
      </c>
    </row>
    <row r="12" customFormat="false" ht="12.8" hidden="false" customHeight="false" outlineLevel="0" collapsed="false">
      <c r="A12" s="0" t="s">
        <v>1055</v>
      </c>
      <c r="B12" s="0" t="s">
        <v>9</v>
      </c>
      <c r="C12" s="0" t="str">
        <f aca="false">"618-629"</f>
        <v>618-629</v>
      </c>
      <c r="D12" s="0" t="s">
        <v>9</v>
      </c>
      <c r="E12" s="0" t="str">
        <f aca="false">"673-684"</f>
        <v>673-684</v>
      </c>
      <c r="F12" s="0" t="s">
        <v>1066</v>
      </c>
      <c r="G12" s="0" t="s">
        <v>9</v>
      </c>
      <c r="H12" s="0" t="str">
        <f aca="false">"117-128"</f>
        <v>117-128</v>
      </c>
      <c r="I12" s="0" t="s">
        <v>9</v>
      </c>
      <c r="J12" s="0" t="str">
        <f aca="false">"94-105"</f>
        <v>94-105</v>
      </c>
      <c r="K12" s="0" t="str">
        <f aca="false">"1.23"</f>
        <v>1.23</v>
      </c>
      <c r="L12" s="0" t="str">
        <f aca="false">"10.46"</f>
        <v>10.46</v>
      </c>
      <c r="M12" s="0" t="str">
        <f aca="false">"157.1"</f>
        <v>157.1</v>
      </c>
    </row>
    <row r="13" customFormat="false" ht="12.8" hidden="false" customHeight="false" outlineLevel="0" collapsed="false">
      <c r="A13" s="0" t="s">
        <v>1055</v>
      </c>
      <c r="B13" s="0" t="s">
        <v>9</v>
      </c>
      <c r="C13" s="0" t="str">
        <f aca="false">"618-629"</f>
        <v>618-629</v>
      </c>
      <c r="D13" s="0" t="s">
        <v>9</v>
      </c>
      <c r="E13" s="0" t="str">
        <f aca="false">"673-684"</f>
        <v>673-684</v>
      </c>
      <c r="F13" s="0" t="s">
        <v>1067</v>
      </c>
      <c r="G13" s="0" t="s">
        <v>13</v>
      </c>
      <c r="H13" s="0" t="str">
        <f aca="false">"335-346"</f>
        <v>335-346</v>
      </c>
      <c r="I13" s="0" t="s">
        <v>13</v>
      </c>
      <c r="J13" s="0" t="str">
        <f aca="false">"296-307"</f>
        <v>296-307</v>
      </c>
      <c r="K13" s="0" t="str">
        <f aca="false">"1.22"</f>
        <v>1.22</v>
      </c>
      <c r="L13" s="0" t="str">
        <f aca="false">"9.41"</f>
        <v>9.41</v>
      </c>
      <c r="M13" s="0" t="str">
        <f aca="false">"125.2"</f>
        <v>125.2</v>
      </c>
    </row>
    <row r="14" customFormat="false" ht="12.8" hidden="false" customHeight="false" outlineLevel="0" collapsed="false">
      <c r="A14" s="0" t="s">
        <v>1055</v>
      </c>
      <c r="B14" s="0" t="s">
        <v>9</v>
      </c>
      <c r="C14" s="0" t="str">
        <f aca="false">"618-629"</f>
        <v>618-629</v>
      </c>
      <c r="D14" s="0" t="s">
        <v>9</v>
      </c>
      <c r="E14" s="0" t="str">
        <f aca="false">"673-684"</f>
        <v>673-684</v>
      </c>
      <c r="F14" s="0" t="s">
        <v>1068</v>
      </c>
      <c r="G14" s="0" t="s">
        <v>24</v>
      </c>
      <c r="H14" s="0" t="str">
        <f aca="false">"88-99"</f>
        <v>88-99</v>
      </c>
      <c r="I14" s="0" t="s">
        <v>24</v>
      </c>
      <c r="J14" s="0" t="str">
        <f aca="false">"109-120"</f>
        <v>109-120</v>
      </c>
      <c r="K14" s="0" t="str">
        <f aca="false">"0.94"</f>
        <v>0.94</v>
      </c>
      <c r="L14" s="0" t="str">
        <f aca="false">"9.80"</f>
        <v>9.80</v>
      </c>
      <c r="M14" s="0" t="str">
        <f aca="false">"134.9"</f>
        <v>134.9</v>
      </c>
    </row>
    <row r="15" customFormat="false" ht="12.8" hidden="false" customHeight="false" outlineLevel="0" collapsed="false">
      <c r="A15" s="0" t="s">
        <v>1055</v>
      </c>
      <c r="B15" s="0" t="s">
        <v>9</v>
      </c>
      <c r="C15" s="0" t="str">
        <f aca="false">"612-623"</f>
        <v>612-623</v>
      </c>
      <c r="D15" s="0" t="s">
        <v>9</v>
      </c>
      <c r="E15" s="0" t="str">
        <f aca="false">"676-687"</f>
        <v>676-687</v>
      </c>
      <c r="F15" s="0" t="s">
        <v>1069</v>
      </c>
      <c r="G15" s="0" t="s">
        <v>9</v>
      </c>
      <c r="H15" s="0" t="str">
        <f aca="false">"88-99"</f>
        <v>88-99</v>
      </c>
      <c r="I15" s="0" t="s">
        <v>9</v>
      </c>
      <c r="J15" s="0" t="str">
        <f aca="false">"132-143"</f>
        <v>132-143</v>
      </c>
      <c r="K15" s="0" t="str">
        <f aca="false">"1.22"</f>
        <v>1.22</v>
      </c>
      <c r="L15" s="0" t="str">
        <f aca="false">"11.20"</f>
        <v>11.20</v>
      </c>
      <c r="M15" s="0" t="str">
        <f aca="false">"125.9"</f>
        <v>125.9</v>
      </c>
    </row>
    <row r="16" customFormat="false" ht="12.8" hidden="false" customHeight="false" outlineLevel="0" collapsed="false">
      <c r="A16" s="0" t="s">
        <v>1055</v>
      </c>
      <c r="B16" s="0" t="s">
        <v>9</v>
      </c>
      <c r="C16" s="0" t="str">
        <f aca="false">"621-632"</f>
        <v>621-632</v>
      </c>
      <c r="D16" s="0" t="s">
        <v>9</v>
      </c>
      <c r="E16" s="0" t="str">
        <f aca="false">"672-683"</f>
        <v>672-683</v>
      </c>
      <c r="F16" s="0" t="s">
        <v>1070</v>
      </c>
      <c r="G16" s="0" t="s">
        <v>9</v>
      </c>
      <c r="H16" s="0" t="str">
        <f aca="false">"51-62"</f>
        <v>51-62</v>
      </c>
      <c r="I16" s="0" t="s">
        <v>9</v>
      </c>
      <c r="J16" s="0" t="str">
        <f aca="false">"19-30"</f>
        <v>19-30</v>
      </c>
      <c r="K16" s="0" t="str">
        <f aca="false">"1.11"</f>
        <v>1.11</v>
      </c>
      <c r="L16" s="0" t="str">
        <f aca="false">"9.83"</f>
        <v>9.83</v>
      </c>
      <c r="M16" s="0" t="str">
        <f aca="false">"138.8"</f>
        <v>138.8</v>
      </c>
    </row>
    <row r="17" customFormat="false" ht="12.8" hidden="false" customHeight="false" outlineLevel="0" collapsed="false">
      <c r="A17" s="0" t="s">
        <v>1055</v>
      </c>
      <c r="B17" s="0" t="s">
        <v>9</v>
      </c>
      <c r="C17" s="0" t="str">
        <f aca="false">"616-627"</f>
        <v>616-627</v>
      </c>
      <c r="D17" s="0" t="s">
        <v>9</v>
      </c>
      <c r="E17" s="0" t="str">
        <f aca="false">"673-684"</f>
        <v>673-684</v>
      </c>
      <c r="F17" s="0" t="s">
        <v>1071</v>
      </c>
      <c r="G17" s="0" t="s">
        <v>9</v>
      </c>
      <c r="H17" s="0" t="str">
        <f aca="false">"30-41"</f>
        <v>30-41</v>
      </c>
      <c r="I17" s="0" t="s">
        <v>9</v>
      </c>
      <c r="J17" s="0" t="str">
        <f aca="false">"45-56"</f>
        <v>45-56</v>
      </c>
      <c r="K17" s="0" t="str">
        <f aca="false">"0.92"</f>
        <v>0.92</v>
      </c>
      <c r="L17" s="0" t="str">
        <f aca="false">"10.96"</f>
        <v>10.96</v>
      </c>
      <c r="M17" s="0" t="str">
        <f aca="false">"140.5"</f>
        <v>140.5</v>
      </c>
    </row>
    <row r="18" customFormat="false" ht="12.8" hidden="false" customHeight="false" outlineLevel="0" collapsed="false">
      <c r="A18" s="0" t="s">
        <v>1055</v>
      </c>
      <c r="B18" s="0" t="s">
        <v>9</v>
      </c>
      <c r="C18" s="0" t="str">
        <f aca="false">"618-629"</f>
        <v>618-629</v>
      </c>
      <c r="D18" s="0" t="s">
        <v>9</v>
      </c>
      <c r="E18" s="0" t="str">
        <f aca="false">"673-684"</f>
        <v>673-684</v>
      </c>
      <c r="F18" s="0" t="s">
        <v>1072</v>
      </c>
      <c r="G18" s="0" t="s">
        <v>9</v>
      </c>
      <c r="H18" s="0" t="str">
        <f aca="false">"271-282"</f>
        <v>271-282</v>
      </c>
      <c r="I18" s="0" t="s">
        <v>9</v>
      </c>
      <c r="J18" s="0" t="str">
        <f aca="false">"236-247"</f>
        <v>236-247</v>
      </c>
      <c r="K18" s="0" t="str">
        <f aca="false">"0.72"</f>
        <v>0.72</v>
      </c>
      <c r="L18" s="0" t="str">
        <f aca="false">"9.56"</f>
        <v>9.56</v>
      </c>
      <c r="M18" s="0" t="str">
        <f aca="false">"129.7"</f>
        <v>129.7</v>
      </c>
    </row>
    <row r="19" customFormat="false" ht="12.8" hidden="false" customHeight="false" outlineLevel="0" collapsed="false">
      <c r="A19" s="0" t="s">
        <v>1055</v>
      </c>
      <c r="B19" s="0" t="s">
        <v>9</v>
      </c>
      <c r="C19" s="0" t="str">
        <f aca="false">"612-623"</f>
        <v>612-623</v>
      </c>
      <c r="D19" s="0" t="s">
        <v>9</v>
      </c>
      <c r="E19" s="0" t="str">
        <f aca="false">"677-688"</f>
        <v>677-688</v>
      </c>
      <c r="F19" s="0" t="s">
        <v>1073</v>
      </c>
      <c r="G19" s="0" t="s">
        <v>9</v>
      </c>
      <c r="H19" s="0" t="str">
        <f aca="false">"833-844"</f>
        <v>833-844</v>
      </c>
      <c r="I19" s="0" t="s">
        <v>9</v>
      </c>
      <c r="J19" s="0" t="str">
        <f aca="false">"849-860"</f>
        <v>849-860</v>
      </c>
      <c r="K19" s="0" t="str">
        <f aca="false">"0.89"</f>
        <v>0.89</v>
      </c>
      <c r="L19" s="0" t="str">
        <f aca="false">"11.49"</f>
        <v>11.49</v>
      </c>
      <c r="M19" s="0" t="str">
        <f aca="false">"127.4"</f>
        <v>127.4</v>
      </c>
    </row>
    <row r="20" customFormat="false" ht="12.8" hidden="false" customHeight="false" outlineLevel="0" collapsed="false">
      <c r="A20" s="0" t="s">
        <v>1055</v>
      </c>
      <c r="B20" s="0" t="s">
        <v>9</v>
      </c>
      <c r="C20" s="0" t="str">
        <f aca="false">"613-624"</f>
        <v>613-624</v>
      </c>
      <c r="D20" s="0" t="s">
        <v>9</v>
      </c>
      <c r="E20" s="0" t="str">
        <f aca="false">"677-688"</f>
        <v>677-688</v>
      </c>
      <c r="F20" s="0" t="s">
        <v>1074</v>
      </c>
      <c r="G20" s="0" t="s">
        <v>9</v>
      </c>
      <c r="H20" s="0" t="str">
        <f aca="false">"56-67"</f>
        <v>56-67</v>
      </c>
      <c r="I20" s="0" t="s">
        <v>9</v>
      </c>
      <c r="J20" s="0" t="str">
        <f aca="false">"82-93"</f>
        <v>82-93</v>
      </c>
      <c r="K20" s="0" t="str">
        <f aca="false">"1.21"</f>
        <v>1.21</v>
      </c>
      <c r="L20" s="0" t="str">
        <f aca="false">"11.61"</f>
        <v>11.61</v>
      </c>
      <c r="M20" s="0" t="str">
        <f aca="false">"127.1"</f>
        <v>127.1</v>
      </c>
    </row>
    <row r="21" customFormat="false" ht="12.8" hidden="false" customHeight="false" outlineLevel="0" collapsed="false">
      <c r="A21" s="0" t="s">
        <v>1055</v>
      </c>
      <c r="B21" s="0" t="s">
        <v>9</v>
      </c>
      <c r="C21" s="0" t="str">
        <f aca="false">"618-629"</f>
        <v>618-629</v>
      </c>
      <c r="D21" s="0" t="s">
        <v>9</v>
      </c>
      <c r="E21" s="0" t="str">
        <f aca="false">"672-683"</f>
        <v>672-683</v>
      </c>
      <c r="F21" s="0" t="s">
        <v>1075</v>
      </c>
      <c r="G21" s="0" t="s">
        <v>9</v>
      </c>
      <c r="H21" s="0" t="str">
        <f aca="false">"200-211"</f>
        <v>200-211</v>
      </c>
      <c r="I21" s="0" t="s">
        <v>9</v>
      </c>
      <c r="J21" s="0" t="str">
        <f aca="false">"176-187"</f>
        <v>176-187</v>
      </c>
      <c r="K21" s="0" t="str">
        <f aca="false">"0.78"</f>
        <v>0.78</v>
      </c>
      <c r="L21" s="0" t="str">
        <f aca="false">"9.02"</f>
        <v>9.02</v>
      </c>
      <c r="M21" s="0" t="str">
        <f aca="false">"128.2"</f>
        <v>128.2</v>
      </c>
    </row>
    <row r="22" customFormat="false" ht="12.8" hidden="false" customHeight="false" outlineLevel="0" collapsed="false">
      <c r="A22" s="0" t="s">
        <v>1055</v>
      </c>
      <c r="B22" s="0" t="s">
        <v>9</v>
      </c>
      <c r="C22" s="0" t="str">
        <f aca="false">"618-629"</f>
        <v>618-629</v>
      </c>
      <c r="D22" s="0" t="s">
        <v>9</v>
      </c>
      <c r="E22" s="0" t="str">
        <f aca="false">"674-685"</f>
        <v>674-685</v>
      </c>
      <c r="F22" s="0" t="s">
        <v>1076</v>
      </c>
      <c r="G22" s="0" t="s">
        <v>9</v>
      </c>
      <c r="H22" s="0" t="str">
        <f aca="false">"161-172"</f>
        <v>161-172</v>
      </c>
      <c r="I22" s="0" t="s">
        <v>9</v>
      </c>
      <c r="J22" s="0" t="str">
        <f aca="false">"131-142"</f>
        <v>131-142</v>
      </c>
      <c r="K22" s="0" t="str">
        <f aca="false">"1.08"</f>
        <v>1.08</v>
      </c>
      <c r="L22" s="0" t="str">
        <f aca="false">"10.27"</f>
        <v>10.27</v>
      </c>
      <c r="M22" s="0" t="str">
        <f aca="false">"130.8"</f>
        <v>130.8</v>
      </c>
    </row>
    <row r="23" customFormat="false" ht="12.8" hidden="false" customHeight="false" outlineLevel="0" collapsed="false">
      <c r="A23" s="0" t="s">
        <v>1055</v>
      </c>
      <c r="B23" s="0" t="s">
        <v>9</v>
      </c>
      <c r="C23" s="0" t="str">
        <f aca="false">"614-625"</f>
        <v>614-625</v>
      </c>
      <c r="D23" s="0" t="s">
        <v>9</v>
      </c>
      <c r="E23" s="0" t="str">
        <f aca="false">"676-687"</f>
        <v>676-687</v>
      </c>
      <c r="F23" s="0" t="s">
        <v>1077</v>
      </c>
      <c r="G23" s="0" t="s">
        <v>9</v>
      </c>
      <c r="H23" s="0" t="str">
        <f aca="false">"164-175"</f>
        <v>164-175</v>
      </c>
      <c r="I23" s="0" t="s">
        <v>9</v>
      </c>
      <c r="J23" s="0" t="str">
        <f aca="false">"151-162"</f>
        <v>151-162</v>
      </c>
      <c r="K23" s="0" t="str">
        <f aca="false">"0.82"</f>
        <v>0.82</v>
      </c>
      <c r="L23" s="0" t="str">
        <f aca="false">"11.12"</f>
        <v>11.12</v>
      </c>
      <c r="M23" s="0" t="str">
        <f aca="false">"139.8"</f>
        <v>139.8</v>
      </c>
    </row>
    <row r="24" customFormat="false" ht="12.8" hidden="false" customHeight="false" outlineLevel="0" collapsed="false">
      <c r="A24" s="0" t="s">
        <v>1055</v>
      </c>
      <c r="B24" s="0" t="s">
        <v>9</v>
      </c>
      <c r="C24" s="0" t="str">
        <f aca="false">"618-629"</f>
        <v>618-629</v>
      </c>
      <c r="D24" s="0" t="s">
        <v>9</v>
      </c>
      <c r="E24" s="0" t="str">
        <f aca="false">"677-688"</f>
        <v>677-688</v>
      </c>
      <c r="F24" s="0" t="s">
        <v>1078</v>
      </c>
      <c r="G24" s="0" t="s">
        <v>9</v>
      </c>
      <c r="H24" s="0" t="str">
        <f aca="false">"659-670"</f>
        <v>659-670</v>
      </c>
      <c r="I24" s="0" t="s">
        <v>9</v>
      </c>
      <c r="J24" s="0" t="str">
        <f aca="false">"674-685"</f>
        <v>674-685</v>
      </c>
      <c r="K24" s="0" t="str">
        <f aca="false">"1.21"</f>
        <v>1.21</v>
      </c>
      <c r="L24" s="0" t="str">
        <f aca="false">"10.35"</f>
        <v>10.35</v>
      </c>
      <c r="M24" s="0" t="str">
        <f aca="false">"153.4"</f>
        <v>153.4</v>
      </c>
    </row>
    <row r="25" customFormat="false" ht="12.8" hidden="false" customHeight="false" outlineLevel="0" collapsed="false">
      <c r="A25" s="0" t="s">
        <v>1055</v>
      </c>
      <c r="B25" s="0" t="s">
        <v>9</v>
      </c>
      <c r="C25" s="0" t="str">
        <f aca="false">"617-628"</f>
        <v>617-628</v>
      </c>
      <c r="D25" s="0" t="s">
        <v>9</v>
      </c>
      <c r="E25" s="0" t="str">
        <f aca="false">"677-688"</f>
        <v>677-688</v>
      </c>
      <c r="F25" s="0" t="s">
        <v>1079</v>
      </c>
      <c r="G25" s="0" t="s">
        <v>9</v>
      </c>
      <c r="H25" s="0" t="str">
        <f aca="false">"291-302"</f>
        <v>291-302</v>
      </c>
      <c r="I25" s="0" t="s">
        <v>9</v>
      </c>
      <c r="J25" s="0" t="str">
        <f aca="false">"312-323"</f>
        <v>312-323</v>
      </c>
      <c r="K25" s="0" t="str">
        <f aca="false">"1.07"</f>
        <v>1.07</v>
      </c>
      <c r="L25" s="0" t="str">
        <f aca="false">"9.47"</f>
        <v>9.47</v>
      </c>
      <c r="M25" s="0" t="str">
        <f aca="false">"126.7"</f>
        <v>126.7</v>
      </c>
    </row>
    <row r="26" customFormat="false" ht="12.8" hidden="false" customHeight="false" outlineLevel="0" collapsed="false">
      <c r="A26" s="0" t="s">
        <v>1055</v>
      </c>
      <c r="B26" s="0" t="s">
        <v>9</v>
      </c>
      <c r="C26" s="0" t="str">
        <f aca="false">"618-629"</f>
        <v>618-629</v>
      </c>
      <c r="D26" s="0" t="s">
        <v>9</v>
      </c>
      <c r="E26" s="0" t="str">
        <f aca="false">"673-684"</f>
        <v>673-684</v>
      </c>
      <c r="F26" s="0" t="s">
        <v>1080</v>
      </c>
      <c r="G26" s="0" t="s">
        <v>9</v>
      </c>
      <c r="H26" s="0" t="str">
        <f aca="false">"152-163"</f>
        <v>152-163</v>
      </c>
      <c r="I26" s="0" t="s">
        <v>9</v>
      </c>
      <c r="J26" s="0" t="str">
        <f aca="false">"131-142"</f>
        <v>131-142</v>
      </c>
      <c r="K26" s="0" t="str">
        <f aca="false">"1.20"</f>
        <v>1.20</v>
      </c>
      <c r="L26" s="0" t="str">
        <f aca="false">"11.03"</f>
        <v>11.03</v>
      </c>
      <c r="M26" s="0" t="str">
        <f aca="false">"140.0"</f>
        <v>140.0</v>
      </c>
    </row>
    <row r="27" customFormat="false" ht="12.8" hidden="false" customHeight="false" outlineLevel="0" collapsed="false">
      <c r="A27" s="0" t="s">
        <v>1055</v>
      </c>
      <c r="B27" s="0" t="s">
        <v>9</v>
      </c>
      <c r="C27" s="0" t="str">
        <f aca="false">"614-625"</f>
        <v>614-625</v>
      </c>
      <c r="D27" s="0" t="s">
        <v>9</v>
      </c>
      <c r="E27" s="0" t="str">
        <f aca="false">"677-688"</f>
        <v>677-688</v>
      </c>
      <c r="F27" s="0" t="s">
        <v>1081</v>
      </c>
      <c r="G27" s="0" t="s">
        <v>9</v>
      </c>
      <c r="H27" s="0" t="str">
        <f aca="false">"39-50"</f>
        <v>39-50</v>
      </c>
      <c r="I27" s="0" t="s">
        <v>9</v>
      </c>
      <c r="J27" s="0" t="str">
        <f aca="false">"58-69"</f>
        <v>58-69</v>
      </c>
      <c r="K27" s="0" t="str">
        <f aca="false">"1.02"</f>
        <v>1.02</v>
      </c>
      <c r="L27" s="0" t="str">
        <f aca="false">"10.08"</f>
        <v>10.08</v>
      </c>
      <c r="M27" s="0" t="str">
        <f aca="false">"128.9"</f>
        <v>128.9</v>
      </c>
    </row>
    <row r="28" customFormat="false" ht="12.8" hidden="false" customHeight="false" outlineLevel="0" collapsed="false">
      <c r="A28" s="0" t="s">
        <v>1055</v>
      </c>
      <c r="B28" s="0" t="s">
        <v>9</v>
      </c>
      <c r="C28" s="0" t="str">
        <f aca="false">"618-629"</f>
        <v>618-629</v>
      </c>
      <c r="D28" s="0" t="s">
        <v>9</v>
      </c>
      <c r="E28" s="0" t="str">
        <f aca="false">"675-686"</f>
        <v>675-686</v>
      </c>
      <c r="F28" s="0" t="s">
        <v>1082</v>
      </c>
      <c r="G28" s="0" t="s">
        <v>13</v>
      </c>
      <c r="H28" s="0" t="str">
        <f aca="false">"108-119"</f>
        <v>108-119</v>
      </c>
      <c r="I28" s="0" t="s">
        <v>13</v>
      </c>
      <c r="J28" s="0" t="str">
        <f aca="false">"18-29"</f>
        <v>18-29</v>
      </c>
      <c r="K28" s="0" t="str">
        <f aca="false">"1.07"</f>
        <v>1.07</v>
      </c>
      <c r="L28" s="0" t="str">
        <f aca="false">"9.97"</f>
        <v>9.97</v>
      </c>
      <c r="M28" s="0" t="str">
        <f aca="false">"135.6"</f>
        <v>135.6</v>
      </c>
    </row>
    <row r="29" customFormat="false" ht="12.8" hidden="false" customHeight="false" outlineLevel="0" collapsed="false">
      <c r="A29" s="0" t="s">
        <v>1055</v>
      </c>
      <c r="B29" s="0" t="s">
        <v>9</v>
      </c>
      <c r="C29" s="0" t="str">
        <f aca="false">"615-626"</f>
        <v>615-626</v>
      </c>
      <c r="D29" s="0" t="s">
        <v>9</v>
      </c>
      <c r="E29" s="0" t="str">
        <f aca="false">"677-688"</f>
        <v>677-688</v>
      </c>
      <c r="F29" s="0" t="s">
        <v>1083</v>
      </c>
      <c r="G29" s="0" t="s">
        <v>9</v>
      </c>
      <c r="H29" s="0" t="str">
        <f aca="false">"34-45"</f>
        <v>34-45</v>
      </c>
      <c r="I29" s="0" t="s">
        <v>9</v>
      </c>
      <c r="J29" s="0" t="str">
        <f aca="false">"74-85"</f>
        <v>74-85</v>
      </c>
      <c r="K29" s="0" t="str">
        <f aca="false">"0.92"</f>
        <v>0.92</v>
      </c>
      <c r="L29" s="0" t="str">
        <f aca="false">"9.94"</f>
        <v>9.94</v>
      </c>
      <c r="M29" s="0" t="str">
        <f aca="false">"133.4"</f>
        <v>133.4</v>
      </c>
    </row>
    <row r="30" customFormat="false" ht="12.8" hidden="false" customHeight="false" outlineLevel="0" collapsed="false">
      <c r="A30" s="0" t="s">
        <v>1055</v>
      </c>
      <c r="B30" s="0" t="s">
        <v>9</v>
      </c>
      <c r="C30" s="0" t="str">
        <f aca="false">"618-629"</f>
        <v>618-629</v>
      </c>
      <c r="D30" s="0" t="s">
        <v>9</v>
      </c>
      <c r="E30" s="0" t="str">
        <f aca="false">"673-684"</f>
        <v>673-684</v>
      </c>
      <c r="F30" s="0" t="s">
        <v>1084</v>
      </c>
      <c r="G30" s="0" t="s">
        <v>9</v>
      </c>
      <c r="H30" s="0" t="str">
        <f aca="false">"16-27"</f>
        <v>16-27</v>
      </c>
      <c r="I30" s="0" t="s">
        <v>9</v>
      </c>
      <c r="J30" s="0" t="str">
        <f aca="false">"73-84"</f>
        <v>73-84</v>
      </c>
      <c r="K30" s="0" t="str">
        <f aca="false">"0.71"</f>
        <v>0.71</v>
      </c>
      <c r="L30" s="0" t="str">
        <f aca="false">"9.91"</f>
        <v>9.91</v>
      </c>
      <c r="M30" s="0" t="str">
        <f aca="false">"137.1"</f>
        <v>137.1</v>
      </c>
    </row>
    <row r="31" customFormat="false" ht="12.8" hidden="false" customHeight="false" outlineLevel="0" collapsed="false">
      <c r="A31" s="0" t="s">
        <v>1055</v>
      </c>
      <c r="B31" s="0" t="s">
        <v>9</v>
      </c>
      <c r="C31" s="0" t="str">
        <f aca="false">"618-629"</f>
        <v>618-629</v>
      </c>
      <c r="D31" s="0" t="s">
        <v>9</v>
      </c>
      <c r="E31" s="0" t="str">
        <f aca="false">"673-684"</f>
        <v>673-684</v>
      </c>
      <c r="F31" s="0" t="s">
        <v>1085</v>
      </c>
      <c r="G31" s="0" t="s">
        <v>13</v>
      </c>
      <c r="H31" s="0" t="str">
        <f aca="false">"154-165"</f>
        <v>154-165</v>
      </c>
      <c r="I31" s="0" t="s">
        <v>13</v>
      </c>
      <c r="J31" s="0" t="str">
        <f aca="false">"122-133"</f>
        <v>122-133</v>
      </c>
      <c r="K31" s="0" t="str">
        <f aca="false">"0.98"</f>
        <v>0.98</v>
      </c>
      <c r="L31" s="0" t="str">
        <f aca="false">"10.29"</f>
        <v>10.29</v>
      </c>
      <c r="M31" s="0" t="str">
        <f aca="false">"125.5"</f>
        <v>125.5</v>
      </c>
    </row>
    <row r="32" customFormat="false" ht="12.8" hidden="false" customHeight="false" outlineLevel="0" collapsed="false">
      <c r="A32" s="0" t="s">
        <v>1055</v>
      </c>
      <c r="B32" s="0" t="s">
        <v>9</v>
      </c>
      <c r="C32" s="0" t="str">
        <f aca="false">"615-626"</f>
        <v>615-626</v>
      </c>
      <c r="D32" s="0" t="s">
        <v>9</v>
      </c>
      <c r="E32" s="0" t="str">
        <f aca="false">"673-684"</f>
        <v>673-684</v>
      </c>
      <c r="F32" s="0" t="s">
        <v>1086</v>
      </c>
      <c r="G32" s="0" t="s">
        <v>9</v>
      </c>
      <c r="H32" s="0" t="str">
        <f aca="false">"324-335"</f>
        <v>324-335</v>
      </c>
      <c r="I32" s="0" t="s">
        <v>9</v>
      </c>
      <c r="J32" s="0" t="str">
        <f aca="false">"343-354"</f>
        <v>343-354</v>
      </c>
      <c r="K32" s="0" t="str">
        <f aca="false">"1.04"</f>
        <v>1.04</v>
      </c>
      <c r="L32" s="0" t="str">
        <f aca="false">"10.55"</f>
        <v>10.55</v>
      </c>
      <c r="M32" s="0" t="str">
        <f aca="false">"135.8"</f>
        <v>135.8</v>
      </c>
    </row>
    <row r="33" customFormat="false" ht="12.8" hidden="false" customHeight="false" outlineLevel="0" collapsed="false">
      <c r="A33" s="0" t="s">
        <v>1055</v>
      </c>
      <c r="B33" s="0" t="s">
        <v>9</v>
      </c>
      <c r="C33" s="0" t="str">
        <f aca="false">"618-629"</f>
        <v>618-629</v>
      </c>
      <c r="D33" s="0" t="s">
        <v>9</v>
      </c>
      <c r="E33" s="0" t="str">
        <f aca="false">"673-684"</f>
        <v>673-684</v>
      </c>
      <c r="F33" s="0" t="s">
        <v>1087</v>
      </c>
      <c r="G33" s="0" t="s">
        <v>9</v>
      </c>
      <c r="H33" s="0" t="str">
        <f aca="false">"481-492"</f>
        <v>481-492</v>
      </c>
      <c r="I33" s="0" t="s">
        <v>9</v>
      </c>
      <c r="J33" s="0" t="str">
        <f aca="false">"501-512"</f>
        <v>501-512</v>
      </c>
      <c r="K33" s="0" t="str">
        <f aca="false">"1.00"</f>
        <v>1.00</v>
      </c>
      <c r="L33" s="0" t="str">
        <f aca="false">"11.30"</f>
        <v>11.30</v>
      </c>
      <c r="M33" s="0" t="str">
        <f aca="false">"137.4"</f>
        <v>137.4</v>
      </c>
    </row>
    <row r="34" customFormat="false" ht="12.8" hidden="false" customHeight="false" outlineLevel="0" collapsed="false">
      <c r="A34" s="0" t="s">
        <v>1055</v>
      </c>
      <c r="B34" s="0" t="s">
        <v>9</v>
      </c>
      <c r="C34" s="0" t="str">
        <f aca="false">"618-629"</f>
        <v>618-629</v>
      </c>
      <c r="D34" s="0" t="s">
        <v>9</v>
      </c>
      <c r="E34" s="0" t="str">
        <f aca="false">"673-684"</f>
        <v>673-684</v>
      </c>
      <c r="F34" s="0" t="s">
        <v>1088</v>
      </c>
      <c r="G34" s="0" t="s">
        <v>9</v>
      </c>
      <c r="H34" s="0" t="str">
        <f aca="false">"536-547"</f>
        <v>536-547</v>
      </c>
      <c r="I34" s="0" t="s">
        <v>9</v>
      </c>
      <c r="J34" s="0" t="str">
        <f aca="false">"619-630"</f>
        <v>619-630</v>
      </c>
      <c r="K34" s="0" t="str">
        <f aca="false">"1.03"</f>
        <v>1.03</v>
      </c>
      <c r="L34" s="0" t="str">
        <f aca="false">"10.33"</f>
        <v>10.33</v>
      </c>
      <c r="M34" s="0" t="str">
        <f aca="false">"140.0"</f>
        <v>140.0</v>
      </c>
    </row>
    <row r="35" customFormat="false" ht="12.8" hidden="false" customHeight="false" outlineLevel="0" collapsed="false">
      <c r="A35" s="0" t="s">
        <v>1055</v>
      </c>
      <c r="B35" s="0" t="s">
        <v>9</v>
      </c>
      <c r="C35" s="0" t="str">
        <f aca="false">"618-629"</f>
        <v>618-629</v>
      </c>
      <c r="D35" s="0" t="s">
        <v>9</v>
      </c>
      <c r="E35" s="0" t="str">
        <f aca="false">"673-684"</f>
        <v>673-684</v>
      </c>
      <c r="F35" s="0" t="s">
        <v>1089</v>
      </c>
      <c r="G35" s="0" t="s">
        <v>9</v>
      </c>
      <c r="H35" s="0" t="str">
        <f aca="false">"526-537"</f>
        <v>526-537</v>
      </c>
      <c r="I35" s="0" t="s">
        <v>9</v>
      </c>
      <c r="J35" s="0" t="str">
        <f aca="false">"501-512"</f>
        <v>501-512</v>
      </c>
      <c r="K35" s="0" t="str">
        <f aca="false">"1.13"</f>
        <v>1.13</v>
      </c>
      <c r="L35" s="0" t="str">
        <f aca="false">"10.55"</f>
        <v>10.55</v>
      </c>
      <c r="M35" s="0" t="str">
        <f aca="false">"152.5"</f>
        <v>152.5</v>
      </c>
    </row>
    <row r="36" customFormat="false" ht="12.8" hidden="false" customHeight="false" outlineLevel="0" collapsed="false">
      <c r="A36" s="0" t="s">
        <v>1055</v>
      </c>
      <c r="B36" s="0" t="s">
        <v>9</v>
      </c>
      <c r="C36" s="0" t="str">
        <f aca="false">"621-632"</f>
        <v>621-632</v>
      </c>
      <c r="D36" s="0" t="s">
        <v>9</v>
      </c>
      <c r="E36" s="0" t="str">
        <f aca="false">"672-683"</f>
        <v>672-683</v>
      </c>
      <c r="F36" s="0" t="s">
        <v>1090</v>
      </c>
      <c r="G36" s="0" t="s">
        <v>9</v>
      </c>
      <c r="H36" s="0" t="str">
        <f aca="false">"166-177"</f>
        <v>166-177</v>
      </c>
      <c r="I36" s="0" t="s">
        <v>9</v>
      </c>
      <c r="J36" s="0" t="str">
        <f aca="false">"120-131"</f>
        <v>120-131</v>
      </c>
      <c r="K36" s="0" t="str">
        <f aca="false">"1.05"</f>
        <v>1.05</v>
      </c>
      <c r="L36" s="0" t="str">
        <f aca="false">"9.23"</f>
        <v>9.23</v>
      </c>
      <c r="M36" s="0" t="str">
        <f aca="false">"124.0"</f>
        <v>124.0</v>
      </c>
    </row>
    <row r="37" customFormat="false" ht="12.8" hidden="false" customHeight="false" outlineLevel="0" collapsed="false">
      <c r="A37" s="0" t="s">
        <v>1055</v>
      </c>
      <c r="B37" s="0" t="s">
        <v>9</v>
      </c>
      <c r="C37" s="0" t="str">
        <f aca="false">"615-626"</f>
        <v>615-626</v>
      </c>
      <c r="D37" s="0" t="s">
        <v>9</v>
      </c>
      <c r="E37" s="0" t="str">
        <f aca="false">"676-687"</f>
        <v>676-687</v>
      </c>
      <c r="F37" s="0" t="s">
        <v>1091</v>
      </c>
      <c r="G37" s="0" t="s">
        <v>24</v>
      </c>
      <c r="H37" s="0" t="str">
        <f aca="false">"343-354"</f>
        <v>343-354</v>
      </c>
      <c r="I37" s="0" t="s">
        <v>24</v>
      </c>
      <c r="J37" s="0" t="str">
        <f aca="false">"373-384"</f>
        <v>373-384</v>
      </c>
      <c r="K37" s="0" t="str">
        <f aca="false">"1.04"</f>
        <v>1.04</v>
      </c>
      <c r="L37" s="0" t="str">
        <f aca="false">"9.90"</f>
        <v>9.90</v>
      </c>
      <c r="M37" s="0" t="str">
        <f aca="false">"139.3"</f>
        <v>139.3</v>
      </c>
    </row>
    <row r="38" customFormat="false" ht="12.8" hidden="false" customHeight="false" outlineLevel="0" collapsed="false">
      <c r="A38" s="0" t="s">
        <v>1055</v>
      </c>
      <c r="B38" s="0" t="s">
        <v>9</v>
      </c>
      <c r="C38" s="0" t="str">
        <f aca="false">"618-629"</f>
        <v>618-629</v>
      </c>
      <c r="D38" s="0" t="s">
        <v>9</v>
      </c>
      <c r="E38" s="0" t="str">
        <f aca="false">"673-684"</f>
        <v>673-684</v>
      </c>
      <c r="F38" s="0" t="s">
        <v>1092</v>
      </c>
      <c r="G38" s="0" t="s">
        <v>13</v>
      </c>
      <c r="H38" s="0" t="str">
        <f aca="false">"283-294"</f>
        <v>283-294</v>
      </c>
      <c r="I38" s="0" t="s">
        <v>13</v>
      </c>
      <c r="J38" s="0" t="str">
        <f aca="false">"244-255"</f>
        <v>244-255</v>
      </c>
      <c r="K38" s="0" t="str">
        <f aca="false">"1.11"</f>
        <v>1.11</v>
      </c>
      <c r="L38" s="0" t="str">
        <f aca="false">"9.03"</f>
        <v>9.03</v>
      </c>
      <c r="M38" s="0" t="str">
        <f aca="false">"127.9"</f>
        <v>127.9</v>
      </c>
    </row>
    <row r="39" customFormat="false" ht="12.8" hidden="false" customHeight="false" outlineLevel="0" collapsed="false">
      <c r="A39" s="0" t="s">
        <v>1055</v>
      </c>
      <c r="B39" s="0" t="s">
        <v>9</v>
      </c>
      <c r="C39" s="0" t="str">
        <f aca="false">"617-628"</f>
        <v>617-628</v>
      </c>
      <c r="D39" s="0" t="s">
        <v>9</v>
      </c>
      <c r="E39" s="0" t="str">
        <f aca="false">"673-684"</f>
        <v>673-684</v>
      </c>
      <c r="F39" s="0" t="s">
        <v>1093</v>
      </c>
      <c r="G39" s="0" t="s">
        <v>9</v>
      </c>
      <c r="H39" s="0" t="str">
        <f aca="false">"12-23"</f>
        <v>12-23</v>
      </c>
      <c r="I39" s="0" t="s">
        <v>9</v>
      </c>
      <c r="J39" s="0" t="str">
        <f aca="false">"28-39"</f>
        <v>28-39</v>
      </c>
      <c r="K39" s="0" t="str">
        <f aca="false">"0.86"</f>
        <v>0.86</v>
      </c>
      <c r="L39" s="0" t="str">
        <f aca="false">"9.90"</f>
        <v>9.90</v>
      </c>
      <c r="M39" s="0" t="str">
        <f aca="false">"125.1"</f>
        <v>125.1</v>
      </c>
    </row>
    <row r="40" customFormat="false" ht="12.8" hidden="false" customHeight="false" outlineLevel="0" collapsed="false">
      <c r="A40" s="0" t="s">
        <v>1055</v>
      </c>
      <c r="B40" s="0" t="s">
        <v>9</v>
      </c>
      <c r="C40" s="0" t="str">
        <f aca="false">"617-628"</f>
        <v>617-628</v>
      </c>
      <c r="D40" s="0" t="s">
        <v>9</v>
      </c>
      <c r="E40" s="0" t="str">
        <f aca="false">"676-687"</f>
        <v>676-687</v>
      </c>
      <c r="F40" s="0" t="s">
        <v>1094</v>
      </c>
      <c r="G40" s="0" t="s">
        <v>9</v>
      </c>
      <c r="H40" s="0" t="str">
        <f aca="false">"91-102"</f>
        <v>91-102</v>
      </c>
      <c r="I40" s="0" t="s">
        <v>9</v>
      </c>
      <c r="J40" s="0" t="str">
        <f aca="false">"184-195"</f>
        <v>184-195</v>
      </c>
      <c r="K40" s="0" t="str">
        <f aca="false">"0.79"</f>
        <v>0.79</v>
      </c>
      <c r="L40" s="0" t="str">
        <f aca="false">"9.58"</f>
        <v>9.58</v>
      </c>
      <c r="M40" s="0" t="str">
        <f aca="false">"143.7"</f>
        <v>143.7</v>
      </c>
    </row>
    <row r="41" customFormat="false" ht="12.8" hidden="false" customHeight="false" outlineLevel="0" collapsed="false">
      <c r="A41" s="0" t="s">
        <v>1055</v>
      </c>
      <c r="B41" s="0" t="s">
        <v>9</v>
      </c>
      <c r="C41" s="0" t="str">
        <f aca="false">"617-628"</f>
        <v>617-628</v>
      </c>
      <c r="D41" s="0" t="s">
        <v>9</v>
      </c>
      <c r="E41" s="0" t="str">
        <f aca="false">"673-684"</f>
        <v>673-684</v>
      </c>
      <c r="F41" s="0" t="s">
        <v>1095</v>
      </c>
      <c r="G41" s="0" t="s">
        <v>9</v>
      </c>
      <c r="H41" s="0" t="str">
        <f aca="false">"185-196"</f>
        <v>185-196</v>
      </c>
      <c r="I41" s="0" t="s">
        <v>9</v>
      </c>
      <c r="J41" s="0" t="str">
        <f aca="false">"92-103"</f>
        <v>92-103</v>
      </c>
      <c r="K41" s="0" t="str">
        <f aca="false">"0.42"</f>
        <v>0.42</v>
      </c>
      <c r="L41" s="0" t="str">
        <f aca="false">"9.61"</f>
        <v>9.61</v>
      </c>
      <c r="M41" s="0" t="str">
        <f aca="false">"133.8"</f>
        <v>133.8</v>
      </c>
    </row>
    <row r="42" customFormat="false" ht="12.8" hidden="false" customHeight="false" outlineLevel="0" collapsed="false">
      <c r="A42" s="0" t="s">
        <v>1055</v>
      </c>
      <c r="B42" s="0" t="s">
        <v>9</v>
      </c>
      <c r="C42" s="0" t="str">
        <f aca="false">"617-628"</f>
        <v>617-628</v>
      </c>
      <c r="D42" s="0" t="s">
        <v>9</v>
      </c>
      <c r="E42" s="0" t="str">
        <f aca="false">"673-684"</f>
        <v>673-684</v>
      </c>
      <c r="F42" s="0" t="s">
        <v>1096</v>
      </c>
      <c r="G42" s="0" t="s">
        <v>9</v>
      </c>
      <c r="H42" s="0" t="str">
        <f aca="false">"61-72"</f>
        <v>61-72</v>
      </c>
      <c r="I42" s="0" t="s">
        <v>9</v>
      </c>
      <c r="J42" s="0" t="str">
        <f aca="false">"78-89"</f>
        <v>78-89</v>
      </c>
      <c r="K42" s="0" t="str">
        <f aca="false">"0.69"</f>
        <v>0.69</v>
      </c>
      <c r="L42" s="0" t="str">
        <f aca="false">"10.16"</f>
        <v>10.16</v>
      </c>
      <c r="M42" s="0" t="str">
        <f aca="false">"140.3"</f>
        <v>140.3</v>
      </c>
    </row>
    <row r="43" customFormat="false" ht="12.8" hidden="false" customHeight="false" outlineLevel="0" collapsed="false">
      <c r="A43" s="0" t="s">
        <v>1055</v>
      </c>
      <c r="B43" s="0" t="s">
        <v>9</v>
      </c>
      <c r="C43" s="0" t="str">
        <f aca="false">"617-628"</f>
        <v>617-628</v>
      </c>
      <c r="D43" s="0" t="s">
        <v>9</v>
      </c>
      <c r="E43" s="0" t="str">
        <f aca="false">"673-684"</f>
        <v>673-684</v>
      </c>
      <c r="F43" s="0" t="s">
        <v>1097</v>
      </c>
      <c r="G43" s="0" t="s">
        <v>13</v>
      </c>
      <c r="H43" s="0" t="str">
        <f aca="false">"58-69"</f>
        <v>58-69</v>
      </c>
      <c r="I43" s="0" t="s">
        <v>13</v>
      </c>
      <c r="J43" s="0" t="str">
        <f aca="false">"74-85"</f>
        <v>74-85</v>
      </c>
      <c r="K43" s="0" t="str">
        <f aca="false">"0.96"</f>
        <v>0.96</v>
      </c>
      <c r="L43" s="0" t="str">
        <f aca="false">"9.56"</f>
        <v>9.56</v>
      </c>
      <c r="M43" s="0" t="str">
        <f aca="false">"151.5"</f>
        <v>151.5</v>
      </c>
    </row>
    <row r="44" customFormat="false" ht="12.8" hidden="false" customHeight="false" outlineLevel="0" collapsed="false">
      <c r="A44" s="0" t="s">
        <v>1055</v>
      </c>
      <c r="B44" s="0" t="s">
        <v>9</v>
      </c>
      <c r="C44" s="0" t="str">
        <f aca="false">"618-629"</f>
        <v>618-629</v>
      </c>
      <c r="D44" s="0" t="s">
        <v>9</v>
      </c>
      <c r="E44" s="0" t="str">
        <f aca="false">"673-684"</f>
        <v>673-684</v>
      </c>
      <c r="F44" s="0" t="s">
        <v>1098</v>
      </c>
      <c r="G44" s="0" t="s">
        <v>9</v>
      </c>
      <c r="H44" s="0" t="str">
        <f aca="false">"25-36"</f>
        <v>25-36</v>
      </c>
      <c r="I44" s="0" t="s">
        <v>9</v>
      </c>
      <c r="J44" s="0" t="str">
        <f aca="false">"110-121"</f>
        <v>110-121</v>
      </c>
      <c r="K44" s="0" t="str">
        <f aca="false">"1.06"</f>
        <v>1.06</v>
      </c>
      <c r="L44" s="0" t="str">
        <f aca="false">"8.88"</f>
        <v>8.88</v>
      </c>
      <c r="M44" s="0" t="str">
        <f aca="false">"135.6"</f>
        <v>135.6</v>
      </c>
    </row>
    <row r="45" customFormat="false" ht="12.8" hidden="false" customHeight="false" outlineLevel="0" collapsed="false">
      <c r="A45" s="0" t="s">
        <v>1055</v>
      </c>
      <c r="B45" s="0" t="s">
        <v>9</v>
      </c>
      <c r="C45" s="0" t="str">
        <f aca="false">"619-630"</f>
        <v>619-630</v>
      </c>
      <c r="D45" s="0" t="s">
        <v>9</v>
      </c>
      <c r="E45" s="0" t="str">
        <f aca="false">"672-683"</f>
        <v>672-683</v>
      </c>
      <c r="F45" s="0" t="s">
        <v>1099</v>
      </c>
      <c r="G45" s="0" t="s">
        <v>9</v>
      </c>
      <c r="H45" s="0" t="str">
        <f aca="false">"76-87"</f>
        <v>76-87</v>
      </c>
      <c r="I45" s="0" t="s">
        <v>9</v>
      </c>
      <c r="J45" s="0" t="str">
        <f aca="false">"46-57"</f>
        <v>46-57</v>
      </c>
      <c r="K45" s="0" t="str">
        <f aca="false">"0.64"</f>
        <v>0.64</v>
      </c>
      <c r="L45" s="0" t="str">
        <f aca="false">"9.36"</f>
        <v>9.36</v>
      </c>
      <c r="M45" s="0" t="str">
        <f aca="false">"134.8"</f>
        <v>134.8</v>
      </c>
    </row>
    <row r="46" customFormat="false" ht="12.8" hidden="false" customHeight="false" outlineLevel="0" collapsed="false">
      <c r="A46" s="0" t="s">
        <v>1055</v>
      </c>
      <c r="B46" s="0" t="s">
        <v>9</v>
      </c>
      <c r="C46" s="0" t="str">
        <f aca="false">"618-629"</f>
        <v>618-629</v>
      </c>
      <c r="D46" s="0" t="s">
        <v>9</v>
      </c>
      <c r="E46" s="0" t="str">
        <f aca="false">"675-686"</f>
        <v>675-686</v>
      </c>
      <c r="F46" s="0" t="s">
        <v>1100</v>
      </c>
      <c r="G46" s="0" t="s">
        <v>9</v>
      </c>
      <c r="H46" s="0" t="str">
        <f aca="false">"144-155"</f>
        <v>144-155</v>
      </c>
      <c r="I46" s="0" t="s">
        <v>9</v>
      </c>
      <c r="J46" s="0" t="str">
        <f aca="false">"119-130"</f>
        <v>119-130</v>
      </c>
      <c r="K46" s="0" t="str">
        <f aca="false">"1.18"</f>
        <v>1.18</v>
      </c>
      <c r="L46" s="0" t="str">
        <f aca="false">"9.00"</f>
        <v>9.00</v>
      </c>
      <c r="M46" s="0" t="str">
        <f aca="false">"133.5"</f>
        <v>133.5</v>
      </c>
    </row>
    <row r="47" customFormat="false" ht="12.8" hidden="false" customHeight="false" outlineLevel="0" collapsed="false">
      <c r="A47" s="0" t="s">
        <v>1055</v>
      </c>
      <c r="B47" s="0" t="s">
        <v>9</v>
      </c>
      <c r="C47" s="0" t="str">
        <f aca="false">"615-626"</f>
        <v>615-626</v>
      </c>
      <c r="D47" s="0" t="s">
        <v>9</v>
      </c>
      <c r="E47" s="0" t="str">
        <f aca="false">"673-684"</f>
        <v>673-684</v>
      </c>
      <c r="F47" s="0" t="s">
        <v>1101</v>
      </c>
      <c r="G47" s="0" t="s">
        <v>9</v>
      </c>
      <c r="H47" s="0" t="str">
        <f aca="false">"17-28"</f>
        <v>17-28</v>
      </c>
      <c r="I47" s="0" t="s">
        <v>9</v>
      </c>
      <c r="J47" s="0" t="str">
        <f aca="false">"36-47"</f>
        <v>36-47</v>
      </c>
      <c r="K47" s="0" t="str">
        <f aca="false">"1.00"</f>
        <v>1.00</v>
      </c>
      <c r="L47" s="0" t="str">
        <f aca="false">"9.88"</f>
        <v>9.88</v>
      </c>
      <c r="M47" s="0" t="str">
        <f aca="false">"129.9"</f>
        <v>129.9</v>
      </c>
    </row>
    <row r="48" customFormat="false" ht="12.8" hidden="false" customHeight="false" outlineLevel="0" collapsed="false">
      <c r="A48" s="0" t="s">
        <v>1055</v>
      </c>
      <c r="B48" s="0" t="s">
        <v>9</v>
      </c>
      <c r="C48" s="0" t="str">
        <f aca="false">"618-629"</f>
        <v>618-629</v>
      </c>
      <c r="D48" s="0" t="s">
        <v>9</v>
      </c>
      <c r="E48" s="0" t="str">
        <f aca="false">"674-685"</f>
        <v>674-685</v>
      </c>
      <c r="F48" s="0" t="s">
        <v>1102</v>
      </c>
      <c r="G48" s="0" t="s">
        <v>9</v>
      </c>
      <c r="H48" s="0" t="str">
        <f aca="false">"250-261"</f>
        <v>250-261</v>
      </c>
      <c r="I48" s="0" t="s">
        <v>9</v>
      </c>
      <c r="J48" s="0" t="str">
        <f aca="false">"236-247"</f>
        <v>236-247</v>
      </c>
      <c r="K48" s="0" t="str">
        <f aca="false">"0.82"</f>
        <v>0.82</v>
      </c>
      <c r="L48" s="0" t="str">
        <f aca="false">"8.13"</f>
        <v>8.13</v>
      </c>
      <c r="M48" s="0" t="str">
        <f aca="false">"132.3"</f>
        <v>132.3</v>
      </c>
    </row>
    <row r="49" customFormat="false" ht="12.8" hidden="false" customHeight="false" outlineLevel="0" collapsed="false">
      <c r="A49" s="0" t="s">
        <v>1055</v>
      </c>
      <c r="B49" s="0" t="s">
        <v>9</v>
      </c>
      <c r="C49" s="0" t="str">
        <f aca="false">"612-623"</f>
        <v>612-623</v>
      </c>
      <c r="D49" s="0" t="s">
        <v>9</v>
      </c>
      <c r="E49" s="0" t="str">
        <f aca="false">"676-687"</f>
        <v>676-687</v>
      </c>
      <c r="F49" s="0" t="s">
        <v>1103</v>
      </c>
      <c r="G49" s="0" t="s">
        <v>9</v>
      </c>
      <c r="H49" s="0" t="str">
        <f aca="false">"87-98"</f>
        <v>87-98</v>
      </c>
      <c r="I49" s="0" t="s">
        <v>9</v>
      </c>
      <c r="J49" s="0" t="str">
        <f aca="false">"19-30"</f>
        <v>19-30</v>
      </c>
      <c r="K49" s="0" t="str">
        <f aca="false">"1.11"</f>
        <v>1.11</v>
      </c>
      <c r="L49" s="0" t="str">
        <f aca="false">"9.78"</f>
        <v>9.78</v>
      </c>
      <c r="M49" s="0" t="str">
        <f aca="false">"131.7"</f>
        <v>131.7</v>
      </c>
    </row>
    <row r="50" customFormat="false" ht="12.8" hidden="false" customHeight="false" outlineLevel="0" collapsed="false">
      <c r="A50" s="0" t="s">
        <v>1055</v>
      </c>
      <c r="B50" s="0" t="s">
        <v>9</v>
      </c>
      <c r="C50" s="0" t="str">
        <f aca="false">"618-629"</f>
        <v>618-629</v>
      </c>
      <c r="D50" s="0" t="s">
        <v>9</v>
      </c>
      <c r="E50" s="0" t="str">
        <f aca="false">"673-684"</f>
        <v>673-684</v>
      </c>
      <c r="F50" s="0" t="s">
        <v>1104</v>
      </c>
      <c r="G50" s="0" t="s">
        <v>9</v>
      </c>
      <c r="H50" s="0" t="str">
        <f aca="false">"244-255"</f>
        <v>244-255</v>
      </c>
      <c r="I50" s="0" t="s">
        <v>9</v>
      </c>
      <c r="J50" s="0" t="str">
        <f aca="false">"258-269"</f>
        <v>258-269</v>
      </c>
      <c r="K50" s="0" t="str">
        <f aca="false">"1.07"</f>
        <v>1.07</v>
      </c>
      <c r="L50" s="0" t="str">
        <f aca="false">"8.79"</f>
        <v>8.79</v>
      </c>
      <c r="M50" s="0" t="str">
        <f aca="false">"140.9"</f>
        <v>140.9</v>
      </c>
    </row>
    <row r="51" customFormat="false" ht="12.8" hidden="false" customHeight="false" outlineLevel="0" collapsed="false">
      <c r="A51" s="0" t="s">
        <v>1055</v>
      </c>
      <c r="B51" s="0" t="s">
        <v>9</v>
      </c>
      <c r="C51" s="0" t="str">
        <f aca="false">"617-628"</f>
        <v>617-628</v>
      </c>
      <c r="D51" s="0" t="s">
        <v>9</v>
      </c>
      <c r="E51" s="0" t="str">
        <f aca="false">"673-684"</f>
        <v>673-684</v>
      </c>
      <c r="F51" s="0" t="s">
        <v>1105</v>
      </c>
      <c r="G51" s="0" t="s">
        <v>9</v>
      </c>
      <c r="H51" s="0" t="str">
        <f aca="false">"23-34"</f>
        <v>23-34</v>
      </c>
      <c r="I51" s="0" t="s">
        <v>9</v>
      </c>
      <c r="J51" s="0" t="str">
        <f aca="false">"38-49"</f>
        <v>38-49</v>
      </c>
      <c r="K51" s="0" t="str">
        <f aca="false">"0.57"</f>
        <v>0.57</v>
      </c>
      <c r="L51" s="0" t="str">
        <f aca="false">"9.35"</f>
        <v>9.35</v>
      </c>
      <c r="M51" s="0" t="str">
        <f aca="false">"135.4"</f>
        <v>135.4</v>
      </c>
    </row>
    <row r="52" customFormat="false" ht="12.8" hidden="false" customHeight="false" outlineLevel="0" collapsed="false">
      <c r="A52" s="0" t="s">
        <v>1055</v>
      </c>
      <c r="B52" s="0" t="s">
        <v>9</v>
      </c>
      <c r="C52" s="0" t="str">
        <f aca="false">"618-629"</f>
        <v>618-629</v>
      </c>
      <c r="D52" s="0" t="s">
        <v>9</v>
      </c>
      <c r="E52" s="0" t="str">
        <f aca="false">"672-683"</f>
        <v>672-683</v>
      </c>
      <c r="F52" s="0" t="s">
        <v>1106</v>
      </c>
      <c r="G52" s="0" t="s">
        <v>9</v>
      </c>
      <c r="H52" s="0" t="str">
        <f aca="false">"197-208"</f>
        <v>197-208</v>
      </c>
      <c r="I52" s="0" t="s">
        <v>9</v>
      </c>
      <c r="J52" s="0" t="str">
        <f aca="false">"235-246"</f>
        <v>235-246</v>
      </c>
      <c r="K52" s="0" t="str">
        <f aca="false">"1.08"</f>
        <v>1.08</v>
      </c>
      <c r="L52" s="0" t="str">
        <f aca="false">"9.75"</f>
        <v>9.75</v>
      </c>
      <c r="M52" s="0" t="str">
        <f aca="false">"120.2"</f>
        <v>120.2</v>
      </c>
    </row>
    <row r="53" customFormat="false" ht="12.8" hidden="false" customHeight="false" outlineLevel="0" collapsed="false">
      <c r="A53" s="0" t="s">
        <v>1055</v>
      </c>
      <c r="B53" s="0" t="s">
        <v>9</v>
      </c>
      <c r="C53" s="0" t="str">
        <f aca="false">"618-629"</f>
        <v>618-629</v>
      </c>
      <c r="D53" s="0" t="s">
        <v>9</v>
      </c>
      <c r="E53" s="0" t="str">
        <f aca="false">"673-684"</f>
        <v>673-684</v>
      </c>
      <c r="F53" s="0" t="s">
        <v>1107</v>
      </c>
      <c r="G53" s="0" t="s">
        <v>9</v>
      </c>
      <c r="H53" s="0" t="str">
        <f aca="false">"126-137"</f>
        <v>126-137</v>
      </c>
      <c r="I53" s="0" t="s">
        <v>9</v>
      </c>
      <c r="J53" s="0" t="str">
        <f aca="false">"208-219"</f>
        <v>208-219</v>
      </c>
      <c r="K53" s="0" t="str">
        <f aca="false">"1.01"</f>
        <v>1.01</v>
      </c>
      <c r="L53" s="0" t="str">
        <f aca="false">"8.65"</f>
        <v>8.65</v>
      </c>
      <c r="M53" s="0" t="str">
        <f aca="false">"138.7"</f>
        <v>138.7</v>
      </c>
    </row>
    <row r="54" customFormat="false" ht="12.8" hidden="false" customHeight="false" outlineLevel="0" collapsed="false">
      <c r="A54" s="0" t="s">
        <v>1055</v>
      </c>
      <c r="B54" s="0" t="s">
        <v>9</v>
      </c>
      <c r="C54" s="0" t="str">
        <f aca="false">"618-629"</f>
        <v>618-629</v>
      </c>
      <c r="D54" s="0" t="s">
        <v>9</v>
      </c>
      <c r="E54" s="0" t="str">
        <f aca="false">"675-686"</f>
        <v>675-686</v>
      </c>
      <c r="F54" s="0" t="s">
        <v>1108</v>
      </c>
      <c r="G54" s="0" t="s">
        <v>24</v>
      </c>
      <c r="H54" s="0" t="str">
        <f aca="false">"104-115"</f>
        <v>104-115</v>
      </c>
      <c r="I54" s="0" t="s">
        <v>24</v>
      </c>
      <c r="J54" s="0" t="str">
        <f aca="false">"283-294"</f>
        <v>283-294</v>
      </c>
      <c r="K54" s="0" t="str">
        <f aca="false">"1.12"</f>
        <v>1.12</v>
      </c>
      <c r="L54" s="0" t="str">
        <f aca="false">"8.67"</f>
        <v>8.67</v>
      </c>
      <c r="M54" s="0" t="str">
        <f aca="false">"141.9"</f>
        <v>141.9</v>
      </c>
    </row>
    <row r="55" customFormat="false" ht="12.8" hidden="false" customHeight="false" outlineLevel="0" collapsed="false">
      <c r="A55" s="0" t="s">
        <v>1055</v>
      </c>
      <c r="B55" s="0" t="s">
        <v>9</v>
      </c>
      <c r="C55" s="0" t="str">
        <f aca="false">"619-630"</f>
        <v>619-630</v>
      </c>
      <c r="D55" s="0" t="s">
        <v>9</v>
      </c>
      <c r="E55" s="0" t="str">
        <f aca="false">"673-684"</f>
        <v>673-684</v>
      </c>
      <c r="F55" s="0" t="s">
        <v>1109</v>
      </c>
      <c r="G55" s="0" t="s">
        <v>9</v>
      </c>
      <c r="H55" s="0" t="str">
        <f aca="false">"248-259"</f>
        <v>248-259</v>
      </c>
      <c r="I55" s="0" t="s">
        <v>9</v>
      </c>
      <c r="J55" s="0" t="str">
        <f aca="false">"67-78"</f>
        <v>67-78</v>
      </c>
      <c r="K55" s="0" t="str">
        <f aca="false">"0.85"</f>
        <v>0.85</v>
      </c>
      <c r="L55" s="0" t="str">
        <f aca="false">"8.85"</f>
        <v>8.85</v>
      </c>
      <c r="M55" s="0" t="str">
        <f aca="false">"134.2"</f>
        <v>134.2</v>
      </c>
    </row>
    <row r="56" customFormat="false" ht="12.8" hidden="false" customHeight="false" outlineLevel="0" collapsed="false">
      <c r="A56" s="0" t="s">
        <v>1055</v>
      </c>
      <c r="B56" s="0" t="s">
        <v>9</v>
      </c>
      <c r="C56" s="0" t="str">
        <f aca="false">"620-631"</f>
        <v>620-631</v>
      </c>
      <c r="D56" s="0" t="s">
        <v>9</v>
      </c>
      <c r="E56" s="0" t="str">
        <f aca="false">"675-686"</f>
        <v>675-686</v>
      </c>
      <c r="F56" s="0" t="s">
        <v>1110</v>
      </c>
      <c r="G56" s="0" t="s">
        <v>9</v>
      </c>
      <c r="H56" s="0" t="str">
        <f aca="false">"198-209"</f>
        <v>198-209</v>
      </c>
      <c r="I56" s="0" t="s">
        <v>9</v>
      </c>
      <c r="J56" s="0" t="str">
        <f aca="false">"93-104"</f>
        <v>93-104</v>
      </c>
      <c r="K56" s="0" t="str">
        <f aca="false">"1.23"</f>
        <v>1.23</v>
      </c>
      <c r="L56" s="0" t="str">
        <f aca="false">"9.45"</f>
        <v>9.45</v>
      </c>
      <c r="M56" s="0" t="str">
        <f aca="false">"129.1"</f>
        <v>129.1</v>
      </c>
    </row>
    <row r="57" customFormat="false" ht="12.8" hidden="false" customHeight="false" outlineLevel="0" collapsed="false">
      <c r="A57" s="0" t="s">
        <v>1055</v>
      </c>
      <c r="B57" s="0" t="s">
        <v>9</v>
      </c>
      <c r="C57" s="0" t="str">
        <f aca="false">"620-631"</f>
        <v>620-631</v>
      </c>
      <c r="D57" s="0" t="s">
        <v>9</v>
      </c>
      <c r="E57" s="0" t="str">
        <f aca="false">"672-683"</f>
        <v>672-683</v>
      </c>
      <c r="F57" s="0" t="s">
        <v>1111</v>
      </c>
      <c r="G57" s="0" t="s">
        <v>13</v>
      </c>
      <c r="H57" s="0" t="str">
        <f aca="false">"400-411"</f>
        <v>400-411</v>
      </c>
      <c r="I57" s="0" t="s">
        <v>13</v>
      </c>
      <c r="J57" s="0" t="str">
        <f aca="false">"428-439"</f>
        <v>428-439</v>
      </c>
      <c r="K57" s="0" t="str">
        <f aca="false">"0.89"</f>
        <v>0.89</v>
      </c>
      <c r="L57" s="0" t="str">
        <f aca="false">"9.73"</f>
        <v>9.73</v>
      </c>
      <c r="M57" s="0" t="str">
        <f aca="false">"134.3"</f>
        <v>134.3</v>
      </c>
    </row>
    <row r="58" customFormat="false" ht="12.8" hidden="false" customHeight="false" outlineLevel="0" collapsed="false">
      <c r="A58" s="0" t="s">
        <v>1055</v>
      </c>
      <c r="B58" s="0" t="s">
        <v>9</v>
      </c>
      <c r="C58" s="0" t="str">
        <f aca="false">"618-629"</f>
        <v>618-629</v>
      </c>
      <c r="D58" s="0" t="s">
        <v>9</v>
      </c>
      <c r="E58" s="0" t="str">
        <f aca="false">"676-687"</f>
        <v>676-687</v>
      </c>
      <c r="F58" s="0" t="s">
        <v>1112</v>
      </c>
      <c r="G58" s="0" t="s">
        <v>9</v>
      </c>
      <c r="H58" s="0" t="str">
        <f aca="false">"231-242"</f>
        <v>231-242</v>
      </c>
      <c r="I58" s="0" t="s">
        <v>9</v>
      </c>
      <c r="J58" s="0" t="str">
        <f aca="false">"202-213"</f>
        <v>202-213</v>
      </c>
      <c r="K58" s="0" t="str">
        <f aca="false">"1.25"</f>
        <v>1.25</v>
      </c>
      <c r="L58" s="0" t="str">
        <f aca="false">"9.41"</f>
        <v>9.41</v>
      </c>
      <c r="M58" s="0" t="str">
        <f aca="false">"142.5"</f>
        <v>142.5</v>
      </c>
    </row>
    <row r="59" customFormat="false" ht="12.8" hidden="false" customHeight="false" outlineLevel="0" collapsed="false">
      <c r="A59" s="0" t="s">
        <v>1055</v>
      </c>
      <c r="B59" s="0" t="s">
        <v>9</v>
      </c>
      <c r="C59" s="0" t="str">
        <f aca="false">"618-629"</f>
        <v>618-629</v>
      </c>
      <c r="D59" s="0" t="s">
        <v>9</v>
      </c>
      <c r="E59" s="0" t="str">
        <f aca="false">"673-684"</f>
        <v>673-684</v>
      </c>
      <c r="F59" s="0" t="s">
        <v>1113</v>
      </c>
      <c r="G59" s="0" t="s">
        <v>9</v>
      </c>
      <c r="H59" s="0" t="str">
        <f aca="false">"421-432"</f>
        <v>421-432</v>
      </c>
      <c r="I59" s="0" t="s">
        <v>9</v>
      </c>
      <c r="J59" s="0" t="str">
        <f aca="false">"400-411"</f>
        <v>400-411</v>
      </c>
      <c r="K59" s="0" t="str">
        <f aca="false">"1.06"</f>
        <v>1.06</v>
      </c>
      <c r="L59" s="0" t="str">
        <f aca="false">"9.28"</f>
        <v>9.28</v>
      </c>
      <c r="M59" s="0" t="str">
        <f aca="false">"134.3"</f>
        <v>134.3</v>
      </c>
    </row>
    <row r="60" customFormat="false" ht="12.8" hidden="false" customHeight="false" outlineLevel="0" collapsed="false">
      <c r="A60" s="0" t="s">
        <v>1055</v>
      </c>
      <c r="B60" s="0" t="s">
        <v>9</v>
      </c>
      <c r="C60" s="0" t="str">
        <f aca="false">"618-629"</f>
        <v>618-629</v>
      </c>
      <c r="D60" s="0" t="s">
        <v>9</v>
      </c>
      <c r="E60" s="0" t="str">
        <f aca="false">"673-684"</f>
        <v>673-684</v>
      </c>
      <c r="F60" s="0" t="s">
        <v>1114</v>
      </c>
      <c r="G60" s="0" t="s">
        <v>13</v>
      </c>
      <c r="H60" s="0" t="str">
        <f aca="false">"332-343"</f>
        <v>332-343</v>
      </c>
      <c r="I60" s="0" t="s">
        <v>13</v>
      </c>
      <c r="J60" s="0" t="str">
        <f aca="false">"302-313"</f>
        <v>302-313</v>
      </c>
      <c r="K60" s="0" t="str">
        <f aca="false">"1.19"</f>
        <v>1.19</v>
      </c>
      <c r="L60" s="0" t="str">
        <f aca="false">"9.54"</f>
        <v>9.54</v>
      </c>
      <c r="M60" s="0" t="str">
        <f aca="false">"143.5"</f>
        <v>143.5</v>
      </c>
    </row>
    <row r="61" customFormat="false" ht="12.8" hidden="false" customHeight="false" outlineLevel="0" collapsed="false">
      <c r="A61" s="0" t="s">
        <v>1055</v>
      </c>
      <c r="B61" s="0" t="s">
        <v>9</v>
      </c>
      <c r="C61" s="0" t="str">
        <f aca="false">"618-629"</f>
        <v>618-629</v>
      </c>
      <c r="D61" s="0" t="s">
        <v>9</v>
      </c>
      <c r="E61" s="0" t="str">
        <f aca="false">"673-684"</f>
        <v>673-684</v>
      </c>
      <c r="F61" s="0" t="s">
        <v>1115</v>
      </c>
      <c r="G61" s="0" t="s">
        <v>9</v>
      </c>
      <c r="H61" s="0" t="str">
        <f aca="false">"142-153"</f>
        <v>142-153</v>
      </c>
      <c r="I61" s="0" t="s">
        <v>9</v>
      </c>
      <c r="J61" s="0" t="str">
        <f aca="false">"263-274"</f>
        <v>263-274</v>
      </c>
      <c r="K61" s="0" t="str">
        <f aca="false">"0.93"</f>
        <v>0.93</v>
      </c>
      <c r="L61" s="0" t="str">
        <f aca="false">"8.25"</f>
        <v>8.25</v>
      </c>
      <c r="M61" s="0" t="str">
        <f aca="false">"139.1"</f>
        <v>139.1</v>
      </c>
    </row>
    <row r="62" customFormat="false" ht="12.8" hidden="false" customHeight="false" outlineLevel="0" collapsed="false">
      <c r="A62" s="0" t="s">
        <v>1055</v>
      </c>
      <c r="B62" s="0" t="s">
        <v>9</v>
      </c>
      <c r="C62" s="0" t="str">
        <f aca="false">"621-632"</f>
        <v>621-632</v>
      </c>
      <c r="D62" s="0" t="s">
        <v>9</v>
      </c>
      <c r="E62" s="0" t="str">
        <f aca="false">"672-683"</f>
        <v>672-683</v>
      </c>
      <c r="F62" s="0" t="s">
        <v>1116</v>
      </c>
      <c r="G62" s="0" t="s">
        <v>9</v>
      </c>
      <c r="H62" s="0" t="str">
        <f aca="false">"450-461"</f>
        <v>450-461</v>
      </c>
      <c r="I62" s="0" t="s">
        <v>9</v>
      </c>
      <c r="J62" s="0" t="str">
        <f aca="false">"411-422"</f>
        <v>411-422</v>
      </c>
      <c r="K62" s="0" t="str">
        <f aca="false">"0.87"</f>
        <v>0.87</v>
      </c>
      <c r="L62" s="0" t="str">
        <f aca="false">"8.79"</f>
        <v>8.79</v>
      </c>
      <c r="M62" s="0" t="str">
        <f aca="false">"133.5"</f>
        <v>133.5</v>
      </c>
    </row>
    <row r="63" customFormat="false" ht="12.8" hidden="false" customHeight="false" outlineLevel="0" collapsed="false">
      <c r="A63" s="0" t="s">
        <v>1055</v>
      </c>
      <c r="B63" s="0" t="s">
        <v>9</v>
      </c>
      <c r="C63" s="0" t="str">
        <f aca="false">"617-628"</f>
        <v>617-628</v>
      </c>
      <c r="D63" s="0" t="s">
        <v>9</v>
      </c>
      <c r="E63" s="0" t="str">
        <f aca="false">"673-684"</f>
        <v>673-684</v>
      </c>
      <c r="F63" s="0" t="s">
        <v>1117</v>
      </c>
      <c r="G63" s="0" t="s">
        <v>9</v>
      </c>
      <c r="H63" s="0" t="str">
        <f aca="false">"374-385"</f>
        <v>374-385</v>
      </c>
      <c r="I63" s="0" t="s">
        <v>9</v>
      </c>
      <c r="J63" s="0" t="str">
        <f aca="false">"395-406"</f>
        <v>395-406</v>
      </c>
      <c r="K63" s="0" t="str">
        <f aca="false">"1.20"</f>
        <v>1.20</v>
      </c>
      <c r="L63" s="0" t="str">
        <f aca="false">"10.63"</f>
        <v>10.63</v>
      </c>
      <c r="M63" s="0" t="str">
        <f aca="false">"133.9"</f>
        <v>133.9</v>
      </c>
    </row>
    <row r="64" customFormat="false" ht="12.8" hidden="false" customHeight="false" outlineLevel="0" collapsed="false">
      <c r="A64" s="0" t="s">
        <v>1055</v>
      </c>
      <c r="B64" s="0" t="s">
        <v>9</v>
      </c>
      <c r="C64" s="0" t="str">
        <f aca="false">"618-629"</f>
        <v>618-629</v>
      </c>
      <c r="D64" s="0" t="s">
        <v>9</v>
      </c>
      <c r="E64" s="0" t="str">
        <f aca="false">"673-684"</f>
        <v>673-684</v>
      </c>
      <c r="F64" s="0" t="s">
        <v>1118</v>
      </c>
      <c r="G64" s="0" t="s">
        <v>9</v>
      </c>
      <c r="H64" s="0" t="str">
        <f aca="false">"296-307"</f>
        <v>296-307</v>
      </c>
      <c r="I64" s="0" t="s">
        <v>9</v>
      </c>
      <c r="J64" s="0" t="str">
        <f aca="false">"251-262"</f>
        <v>251-262</v>
      </c>
      <c r="K64" s="0" t="str">
        <f aca="false">"1.19"</f>
        <v>1.19</v>
      </c>
      <c r="L64" s="0" t="str">
        <f aca="false">"9.61"</f>
        <v>9.61</v>
      </c>
      <c r="M64" s="0" t="str">
        <f aca="false">"160.2"</f>
        <v>160.2</v>
      </c>
    </row>
    <row r="65" customFormat="false" ht="12.8" hidden="false" customHeight="false" outlineLevel="0" collapsed="false">
      <c r="A65" s="0" t="s">
        <v>1055</v>
      </c>
      <c r="B65" s="0" t="s">
        <v>9</v>
      </c>
      <c r="C65" s="0" t="str">
        <f aca="false">"618-629"</f>
        <v>618-629</v>
      </c>
      <c r="D65" s="0" t="s">
        <v>9</v>
      </c>
      <c r="E65" s="0" t="str">
        <f aca="false">"674-685"</f>
        <v>674-685</v>
      </c>
      <c r="F65" s="0" t="s">
        <v>1119</v>
      </c>
      <c r="G65" s="0" t="s">
        <v>9</v>
      </c>
      <c r="H65" s="0" t="str">
        <f aca="false">"100-111"</f>
        <v>100-111</v>
      </c>
      <c r="I65" s="0" t="s">
        <v>9</v>
      </c>
      <c r="J65" s="0" t="str">
        <f aca="false">"198-209"</f>
        <v>198-209</v>
      </c>
      <c r="K65" s="0" t="str">
        <f aca="false">"0.64"</f>
        <v>0.64</v>
      </c>
      <c r="L65" s="0" t="str">
        <f aca="false">"9.55"</f>
        <v>9.55</v>
      </c>
      <c r="M65" s="0" t="str">
        <f aca="false">"135.7"</f>
        <v>135.7</v>
      </c>
    </row>
    <row r="66" customFormat="false" ht="12.8" hidden="false" customHeight="false" outlineLevel="0" collapsed="false">
      <c r="A66" s="0" t="s">
        <v>1055</v>
      </c>
      <c r="B66" s="0" t="s">
        <v>9</v>
      </c>
      <c r="C66" s="0" t="str">
        <f aca="false">"619-630"</f>
        <v>619-630</v>
      </c>
      <c r="D66" s="0" t="s">
        <v>9</v>
      </c>
      <c r="E66" s="0" t="str">
        <f aca="false">"673-684"</f>
        <v>673-684</v>
      </c>
      <c r="F66" s="0" t="s">
        <v>1120</v>
      </c>
      <c r="G66" s="0" t="s">
        <v>9</v>
      </c>
      <c r="H66" s="0" t="str">
        <f aca="false">"3-14"</f>
        <v>3-14</v>
      </c>
      <c r="I66" s="0" t="s">
        <v>9</v>
      </c>
      <c r="J66" s="0" t="str">
        <f aca="false">"164-175"</f>
        <v>164-175</v>
      </c>
      <c r="K66" s="0" t="str">
        <f aca="false">"0.67"</f>
        <v>0.67</v>
      </c>
      <c r="L66" s="0" t="str">
        <f aca="false">"9.28"</f>
        <v>9.28</v>
      </c>
      <c r="M66" s="0" t="str">
        <f aca="false">"141.6"</f>
        <v>141.6</v>
      </c>
    </row>
    <row r="67" customFormat="false" ht="12.8" hidden="false" customHeight="false" outlineLevel="0" collapsed="false">
      <c r="A67" s="0" t="s">
        <v>1055</v>
      </c>
      <c r="B67" s="0" t="s">
        <v>9</v>
      </c>
      <c r="C67" s="0" t="str">
        <f aca="false">"620-631"</f>
        <v>620-631</v>
      </c>
      <c r="D67" s="0" t="s">
        <v>9</v>
      </c>
      <c r="E67" s="0" t="str">
        <f aca="false">"675-686"</f>
        <v>675-686</v>
      </c>
      <c r="F67" s="0" t="s">
        <v>1121</v>
      </c>
      <c r="G67" s="0" t="s">
        <v>24</v>
      </c>
      <c r="H67" s="0" t="str">
        <f aca="false">"342-353"</f>
        <v>342-353</v>
      </c>
      <c r="I67" s="0" t="s">
        <v>24</v>
      </c>
      <c r="J67" s="0" t="str">
        <f aca="false">"300-311"</f>
        <v>300-311</v>
      </c>
      <c r="K67" s="0" t="str">
        <f aca="false">"1.19"</f>
        <v>1.19</v>
      </c>
      <c r="L67" s="0" t="str">
        <f aca="false">"11.64"</f>
        <v>11.64</v>
      </c>
      <c r="M67" s="0" t="str">
        <f aca="false">"144.9"</f>
        <v>144.9</v>
      </c>
    </row>
    <row r="68" customFormat="false" ht="12.8" hidden="false" customHeight="false" outlineLevel="0" collapsed="false">
      <c r="A68" s="0" t="s">
        <v>1055</v>
      </c>
      <c r="B68" s="0" t="s">
        <v>9</v>
      </c>
      <c r="C68" s="0" t="str">
        <f aca="false">"618-629"</f>
        <v>618-629</v>
      </c>
      <c r="D68" s="0" t="s">
        <v>9</v>
      </c>
      <c r="E68" s="0" t="str">
        <f aca="false">"676-687"</f>
        <v>676-687</v>
      </c>
      <c r="F68" s="0" t="s">
        <v>1122</v>
      </c>
      <c r="G68" s="0" t="s">
        <v>9</v>
      </c>
      <c r="H68" s="0" t="str">
        <f aca="false">"161-172"</f>
        <v>161-172</v>
      </c>
      <c r="I68" s="0" t="s">
        <v>9</v>
      </c>
      <c r="J68" s="0" t="str">
        <f aca="false">"141-152"</f>
        <v>141-152</v>
      </c>
      <c r="K68" s="0" t="str">
        <f aca="false">"1.23"</f>
        <v>1.23</v>
      </c>
      <c r="L68" s="0" t="str">
        <f aca="false">"10.65"</f>
        <v>10.65</v>
      </c>
      <c r="M68" s="0" t="str">
        <f aca="false">"130.1"</f>
        <v>130.1</v>
      </c>
    </row>
    <row r="69" customFormat="false" ht="12.8" hidden="false" customHeight="false" outlineLevel="0" collapsed="false">
      <c r="A69" s="0" t="s">
        <v>1055</v>
      </c>
      <c r="B69" s="0" t="s">
        <v>9</v>
      </c>
      <c r="C69" s="0" t="str">
        <f aca="false">"618-629"</f>
        <v>618-629</v>
      </c>
      <c r="D69" s="0" t="s">
        <v>9</v>
      </c>
      <c r="E69" s="0" t="str">
        <f aca="false">"673-684"</f>
        <v>673-684</v>
      </c>
      <c r="F69" s="0" t="s">
        <v>1123</v>
      </c>
      <c r="G69" s="0" t="s">
        <v>9</v>
      </c>
      <c r="H69" s="0" t="str">
        <f aca="false">"168-179"</f>
        <v>168-179</v>
      </c>
      <c r="I69" s="0" t="s">
        <v>9</v>
      </c>
      <c r="J69" s="0" t="str">
        <f aca="false">"297-308"</f>
        <v>297-308</v>
      </c>
      <c r="K69" s="0" t="str">
        <f aca="false">"1.03"</f>
        <v>1.03</v>
      </c>
      <c r="L69" s="0" t="str">
        <f aca="false">"8.33"</f>
        <v>8.33</v>
      </c>
      <c r="M69" s="0" t="str">
        <f aca="false">"135.9"</f>
        <v>135.9</v>
      </c>
    </row>
    <row r="70" customFormat="false" ht="12.8" hidden="false" customHeight="false" outlineLevel="0" collapsed="false">
      <c r="A70" s="0" t="s">
        <v>1055</v>
      </c>
      <c r="B70" s="0" t="s">
        <v>9</v>
      </c>
      <c r="C70" s="0" t="str">
        <f aca="false">"618-629"</f>
        <v>618-629</v>
      </c>
      <c r="D70" s="0" t="s">
        <v>9</v>
      </c>
      <c r="E70" s="0" t="str">
        <f aca="false">"673-684"</f>
        <v>673-684</v>
      </c>
      <c r="F70" s="0" t="s">
        <v>1124</v>
      </c>
      <c r="G70" s="0" t="s">
        <v>13</v>
      </c>
      <c r="H70" s="0" t="str">
        <f aca="false">"66-77"</f>
        <v>66-77</v>
      </c>
      <c r="I70" s="0" t="s">
        <v>9</v>
      </c>
      <c r="J70" s="0" t="str">
        <f aca="false">"127-138"</f>
        <v>127-138</v>
      </c>
      <c r="K70" s="0" t="str">
        <f aca="false">"1.18"</f>
        <v>1.18</v>
      </c>
      <c r="L70" s="0" t="str">
        <f aca="false">"9.45"</f>
        <v>9.45</v>
      </c>
      <c r="M70" s="0" t="str">
        <f aca="false">"125.8"</f>
        <v>125.8</v>
      </c>
    </row>
    <row r="71" customFormat="false" ht="12.8" hidden="false" customHeight="false" outlineLevel="0" collapsed="false">
      <c r="A71" s="0" t="s">
        <v>1055</v>
      </c>
      <c r="B71" s="0" t="s">
        <v>9</v>
      </c>
      <c r="C71" s="0" t="str">
        <f aca="false">"615-626"</f>
        <v>615-626</v>
      </c>
      <c r="D71" s="0" t="s">
        <v>9</v>
      </c>
      <c r="E71" s="0" t="str">
        <f aca="false">"676-687"</f>
        <v>676-687</v>
      </c>
      <c r="F71" s="0" t="s">
        <v>1125</v>
      </c>
      <c r="G71" s="0" t="s">
        <v>9</v>
      </c>
      <c r="H71" s="0" t="str">
        <f aca="false">"4-15"</f>
        <v>4-15</v>
      </c>
      <c r="I71" s="0" t="s">
        <v>9</v>
      </c>
      <c r="J71" s="0" t="str">
        <f aca="false">"38-49"</f>
        <v>38-49</v>
      </c>
      <c r="K71" s="0" t="str">
        <f aca="false">"1.10"</f>
        <v>1.10</v>
      </c>
      <c r="L71" s="0" t="str">
        <f aca="false">"10.85"</f>
        <v>10.85</v>
      </c>
      <c r="M71" s="0" t="str">
        <f aca="false">"142.7"</f>
        <v>142.7</v>
      </c>
    </row>
    <row r="72" customFormat="false" ht="12.8" hidden="false" customHeight="false" outlineLevel="0" collapsed="false">
      <c r="A72" s="0" t="s">
        <v>1055</v>
      </c>
      <c r="B72" s="0" t="s">
        <v>9</v>
      </c>
      <c r="C72" s="0" t="str">
        <f aca="false">"615-626"</f>
        <v>615-626</v>
      </c>
      <c r="D72" s="0" t="s">
        <v>9</v>
      </c>
      <c r="E72" s="0" t="str">
        <f aca="false">"676-687"</f>
        <v>676-687</v>
      </c>
      <c r="F72" s="0" t="s">
        <v>1126</v>
      </c>
      <c r="G72" s="0" t="s">
        <v>9</v>
      </c>
      <c r="H72" s="0" t="str">
        <f aca="false">"259-270"</f>
        <v>259-270</v>
      </c>
      <c r="I72" s="0" t="s">
        <v>9</v>
      </c>
      <c r="J72" s="0" t="str">
        <f aca="false">"394-405"</f>
        <v>394-405</v>
      </c>
      <c r="K72" s="0" t="str">
        <f aca="false">"1.08"</f>
        <v>1.08</v>
      </c>
      <c r="L72" s="0" t="str">
        <f aca="false">"10.81"</f>
        <v>10.81</v>
      </c>
      <c r="M72" s="0" t="str">
        <f aca="false">"139.0"</f>
        <v>139.0</v>
      </c>
    </row>
    <row r="73" customFormat="false" ht="12.8" hidden="false" customHeight="false" outlineLevel="0" collapsed="false">
      <c r="A73" s="0" t="s">
        <v>1055</v>
      </c>
      <c r="B73" s="0" t="s">
        <v>9</v>
      </c>
      <c r="C73" s="0" t="str">
        <f aca="false">"614-625"</f>
        <v>614-625</v>
      </c>
      <c r="D73" s="0" t="s">
        <v>9</v>
      </c>
      <c r="E73" s="0" t="str">
        <f aca="false">"677-688"</f>
        <v>677-688</v>
      </c>
      <c r="F73" s="0" t="s">
        <v>1127</v>
      </c>
      <c r="G73" s="0" t="s">
        <v>9</v>
      </c>
      <c r="H73" s="0" t="str">
        <f aca="false">"409-420"</f>
        <v>409-420</v>
      </c>
      <c r="I73" s="0" t="s">
        <v>9</v>
      </c>
      <c r="J73" s="0" t="str">
        <f aca="false">"454-465"</f>
        <v>454-465</v>
      </c>
      <c r="K73" s="0" t="str">
        <f aca="false">"1.13"</f>
        <v>1.13</v>
      </c>
      <c r="L73" s="0" t="str">
        <f aca="false">"10.50"</f>
        <v>10.50</v>
      </c>
      <c r="M73" s="0" t="str">
        <f aca="false">"152.6"</f>
        <v>152.6</v>
      </c>
    </row>
    <row r="74" customFormat="false" ht="12.8" hidden="false" customHeight="false" outlineLevel="0" collapsed="false">
      <c r="A74" s="0" t="s">
        <v>1055</v>
      </c>
      <c r="B74" s="0" t="s">
        <v>9</v>
      </c>
      <c r="C74" s="0" t="str">
        <f aca="false">"614-625"</f>
        <v>614-625</v>
      </c>
      <c r="D74" s="0" t="s">
        <v>9</v>
      </c>
      <c r="E74" s="0" t="str">
        <f aca="false">"676-687"</f>
        <v>676-687</v>
      </c>
      <c r="F74" s="0" t="s">
        <v>1128</v>
      </c>
      <c r="G74" s="0" t="s">
        <v>9</v>
      </c>
      <c r="H74" s="0" t="str">
        <f aca="false">"14-25"</f>
        <v>14-25</v>
      </c>
      <c r="I74" s="0" t="s">
        <v>9</v>
      </c>
      <c r="J74" s="0" t="str">
        <f aca="false">"160-171"</f>
        <v>160-171</v>
      </c>
      <c r="K74" s="0" t="str">
        <f aca="false">"1.02"</f>
        <v>1.02</v>
      </c>
      <c r="L74" s="0" t="str">
        <f aca="false">"10.69"</f>
        <v>10.69</v>
      </c>
      <c r="M74" s="0" t="str">
        <f aca="false">"133.4"</f>
        <v>133.4</v>
      </c>
    </row>
    <row r="75" customFormat="false" ht="12.8" hidden="false" customHeight="false" outlineLevel="0" collapsed="false">
      <c r="A75" s="0" t="s">
        <v>1055</v>
      </c>
      <c r="B75" s="0" t="s">
        <v>9</v>
      </c>
      <c r="C75" s="0" t="str">
        <f aca="false">"614-625"</f>
        <v>614-625</v>
      </c>
      <c r="D75" s="0" t="s">
        <v>9</v>
      </c>
      <c r="E75" s="0" t="str">
        <f aca="false">"676-687"</f>
        <v>676-687</v>
      </c>
      <c r="F75" s="0" t="s">
        <v>1129</v>
      </c>
      <c r="G75" s="0" t="s">
        <v>13</v>
      </c>
      <c r="H75" s="0" t="str">
        <f aca="false">"1014-1025"</f>
        <v>1014-1025</v>
      </c>
      <c r="I75" s="0" t="s">
        <v>13</v>
      </c>
      <c r="J75" s="0" t="str">
        <f aca="false">"1160-1171"</f>
        <v>1160-1171</v>
      </c>
      <c r="K75" s="0" t="str">
        <f aca="false">"1.02"</f>
        <v>1.02</v>
      </c>
      <c r="L75" s="0" t="str">
        <f aca="false">"10.69"</f>
        <v>10.69</v>
      </c>
      <c r="M75" s="0" t="str">
        <f aca="false">"133.6"</f>
        <v>133.6</v>
      </c>
    </row>
    <row r="76" customFormat="false" ht="12.8" hidden="false" customHeight="false" outlineLevel="0" collapsed="false">
      <c r="A76" s="0" t="s">
        <v>1055</v>
      </c>
      <c r="B76" s="0" t="s">
        <v>9</v>
      </c>
      <c r="C76" s="0" t="str">
        <f aca="false">"615-626"</f>
        <v>615-626</v>
      </c>
      <c r="D76" s="0" t="s">
        <v>9</v>
      </c>
      <c r="E76" s="0" t="str">
        <f aca="false">"673-684"</f>
        <v>673-684</v>
      </c>
      <c r="F76" s="0" t="s">
        <v>1130</v>
      </c>
      <c r="G76" s="0" t="s">
        <v>9</v>
      </c>
      <c r="H76" s="0" t="str">
        <f aca="false">"211-222"</f>
        <v>211-222</v>
      </c>
      <c r="I76" s="0" t="s">
        <v>9</v>
      </c>
      <c r="J76" s="0" t="str">
        <f aca="false">"158-169"</f>
        <v>158-169</v>
      </c>
      <c r="K76" s="0" t="str">
        <f aca="false">"0.84"</f>
        <v>0.84</v>
      </c>
      <c r="L76" s="0" t="str">
        <f aca="false">"10.40"</f>
        <v>10.40</v>
      </c>
      <c r="M76" s="0" t="str">
        <f aca="false">"143.5"</f>
        <v>143.5</v>
      </c>
    </row>
    <row r="77" customFormat="false" ht="12.8" hidden="false" customHeight="false" outlineLevel="0" collapsed="false">
      <c r="A77" s="0" t="s">
        <v>1055</v>
      </c>
      <c r="B77" s="0" t="s">
        <v>9</v>
      </c>
      <c r="C77" s="0" t="str">
        <f aca="false">"617-628"</f>
        <v>617-628</v>
      </c>
      <c r="D77" s="0" t="s">
        <v>9</v>
      </c>
      <c r="E77" s="0" t="str">
        <f aca="false">"676-687"</f>
        <v>676-687</v>
      </c>
      <c r="F77" s="0" t="s">
        <v>1131</v>
      </c>
      <c r="G77" s="0" t="s">
        <v>9</v>
      </c>
      <c r="H77" s="0" t="str">
        <f aca="false">"216-227"</f>
        <v>216-227</v>
      </c>
      <c r="I77" s="0" t="s">
        <v>9</v>
      </c>
      <c r="J77" s="0" t="str">
        <f aca="false">"274-285"</f>
        <v>274-285</v>
      </c>
      <c r="K77" s="0" t="str">
        <f aca="false">"0.64"</f>
        <v>0.64</v>
      </c>
      <c r="L77" s="0" t="str">
        <f aca="false">"9.56"</f>
        <v>9.56</v>
      </c>
      <c r="M77" s="0" t="str">
        <f aca="false">"135.1"</f>
        <v>135.1</v>
      </c>
    </row>
    <row r="78" customFormat="false" ht="12.8" hidden="false" customHeight="false" outlineLevel="0" collapsed="false">
      <c r="A78" s="0" t="s">
        <v>1055</v>
      </c>
      <c r="B78" s="0" t="s">
        <v>9</v>
      </c>
      <c r="C78" s="0" t="str">
        <f aca="false">"618-629"</f>
        <v>618-629</v>
      </c>
      <c r="D78" s="0" t="s">
        <v>9</v>
      </c>
      <c r="E78" s="0" t="str">
        <f aca="false">"675-686"</f>
        <v>675-686</v>
      </c>
      <c r="F78" s="0" t="s">
        <v>1132</v>
      </c>
      <c r="G78" s="0" t="s">
        <v>9</v>
      </c>
      <c r="H78" s="0" t="str">
        <f aca="false">"106-117"</f>
        <v>106-117</v>
      </c>
      <c r="I78" s="0" t="s">
        <v>9</v>
      </c>
      <c r="J78" s="0" t="str">
        <f aca="false">"134-145"</f>
        <v>134-145</v>
      </c>
      <c r="K78" s="0" t="str">
        <f aca="false">"1.12"</f>
        <v>1.12</v>
      </c>
      <c r="L78" s="0" t="str">
        <f aca="false">"9.86"</f>
        <v>9.86</v>
      </c>
      <c r="M78" s="0" t="str">
        <f aca="false">"149.8"</f>
        <v>149.8</v>
      </c>
    </row>
    <row r="79" customFormat="false" ht="12.8" hidden="false" customHeight="false" outlineLevel="0" collapsed="false">
      <c r="A79" s="0" t="s">
        <v>1055</v>
      </c>
      <c r="B79" s="0" t="s">
        <v>9</v>
      </c>
      <c r="C79" s="0" t="str">
        <f aca="false">"619-630"</f>
        <v>619-630</v>
      </c>
      <c r="D79" s="0" t="s">
        <v>9</v>
      </c>
      <c r="E79" s="0" t="str">
        <f aca="false">"672-683"</f>
        <v>672-683</v>
      </c>
      <c r="F79" s="0" t="s">
        <v>1133</v>
      </c>
      <c r="G79" s="0" t="s">
        <v>9</v>
      </c>
      <c r="H79" s="0" t="str">
        <f aca="false">"28-39"</f>
        <v>28-39</v>
      </c>
      <c r="I79" s="0" t="s">
        <v>9</v>
      </c>
      <c r="J79" s="0" t="str">
        <f aca="false">"92-103"</f>
        <v>92-103</v>
      </c>
      <c r="K79" s="0" t="str">
        <f aca="false">"1.16"</f>
        <v>1.16</v>
      </c>
      <c r="L79" s="0" t="str">
        <f aca="false">"10.55"</f>
        <v>10.55</v>
      </c>
      <c r="M79" s="0" t="str">
        <f aca="false">"145.1"</f>
        <v>145.1</v>
      </c>
    </row>
    <row r="80" customFormat="false" ht="12.8" hidden="false" customHeight="false" outlineLevel="0" collapsed="false">
      <c r="A80" s="0" t="s">
        <v>1055</v>
      </c>
      <c r="B80" s="0" t="s">
        <v>9</v>
      </c>
      <c r="C80" s="0" t="str">
        <f aca="false">"617-628"</f>
        <v>617-628</v>
      </c>
      <c r="D80" s="0" t="s">
        <v>9</v>
      </c>
      <c r="E80" s="0" t="str">
        <f aca="false">"674-685"</f>
        <v>674-685</v>
      </c>
      <c r="F80" s="0" t="s">
        <v>1134</v>
      </c>
      <c r="G80" s="0" t="s">
        <v>9</v>
      </c>
      <c r="H80" s="0" t="str">
        <f aca="false">"706-717"</f>
        <v>706-717</v>
      </c>
      <c r="I80" s="0" t="s">
        <v>9</v>
      </c>
      <c r="J80" s="0" t="str">
        <f aca="false">"686-697"</f>
        <v>686-697</v>
      </c>
      <c r="K80" s="0" t="str">
        <f aca="false">"1.24"</f>
        <v>1.24</v>
      </c>
      <c r="L80" s="0" t="str">
        <f aca="false">"10.14"</f>
        <v>10.14</v>
      </c>
      <c r="M80" s="0" t="str">
        <f aca="false">"146.7"</f>
        <v>146.7</v>
      </c>
    </row>
    <row r="81" customFormat="false" ht="12.8" hidden="false" customHeight="false" outlineLevel="0" collapsed="false">
      <c r="A81" s="0" t="s">
        <v>1055</v>
      </c>
      <c r="B81" s="0" t="s">
        <v>9</v>
      </c>
      <c r="C81" s="0" t="str">
        <f aca="false">"614-625"</f>
        <v>614-625</v>
      </c>
      <c r="D81" s="0" t="s">
        <v>9</v>
      </c>
      <c r="E81" s="0" t="str">
        <f aca="false">"677-688"</f>
        <v>677-688</v>
      </c>
      <c r="F81" s="0" t="s">
        <v>1135</v>
      </c>
      <c r="G81" s="0" t="s">
        <v>9</v>
      </c>
      <c r="H81" s="0" t="str">
        <f aca="false">"113-124"</f>
        <v>113-124</v>
      </c>
      <c r="I81" s="0" t="s">
        <v>9</v>
      </c>
      <c r="J81" s="0" t="str">
        <f aca="false">"145-156"</f>
        <v>145-156</v>
      </c>
      <c r="K81" s="0" t="str">
        <f aca="false">"0.91"</f>
        <v>0.91</v>
      </c>
      <c r="L81" s="0" t="str">
        <f aca="false">"10.75"</f>
        <v>10.75</v>
      </c>
      <c r="M81" s="0" t="str">
        <f aca="false">"139.8"</f>
        <v>139.8</v>
      </c>
    </row>
    <row r="82" customFormat="false" ht="12.8" hidden="false" customHeight="false" outlineLevel="0" collapsed="false">
      <c r="A82" s="0" t="s">
        <v>1055</v>
      </c>
      <c r="B82" s="0" t="s">
        <v>9</v>
      </c>
      <c r="C82" s="0" t="str">
        <f aca="false">"620-631"</f>
        <v>620-631</v>
      </c>
      <c r="D82" s="0" t="s">
        <v>9</v>
      </c>
      <c r="E82" s="0" t="str">
        <f aca="false">"672-683"</f>
        <v>672-683</v>
      </c>
      <c r="F82" s="0" t="s">
        <v>1136</v>
      </c>
      <c r="G82" s="0" t="s">
        <v>9</v>
      </c>
      <c r="H82" s="0" t="str">
        <f aca="false">"200-211"</f>
        <v>200-211</v>
      </c>
      <c r="I82" s="0" t="s">
        <v>9</v>
      </c>
      <c r="J82" s="0" t="str">
        <f aca="false">"237-248"</f>
        <v>237-248</v>
      </c>
      <c r="K82" s="0" t="str">
        <f aca="false">"0.64"</f>
        <v>0.64</v>
      </c>
      <c r="L82" s="0" t="str">
        <f aca="false">"9.16"</f>
        <v>9.16</v>
      </c>
      <c r="M82" s="0" t="str">
        <f aca="false">"139.5"</f>
        <v>139.5</v>
      </c>
    </row>
    <row r="83" customFormat="false" ht="12.8" hidden="false" customHeight="false" outlineLevel="0" collapsed="false">
      <c r="A83" s="0" t="s">
        <v>1055</v>
      </c>
      <c r="B83" s="0" t="s">
        <v>9</v>
      </c>
      <c r="C83" s="0" t="str">
        <f aca="false">"616-627"</f>
        <v>616-627</v>
      </c>
      <c r="D83" s="0" t="s">
        <v>9</v>
      </c>
      <c r="E83" s="0" t="str">
        <f aca="false">"676-687"</f>
        <v>676-687</v>
      </c>
      <c r="F83" s="0" t="s">
        <v>1137</v>
      </c>
      <c r="G83" s="0" t="s">
        <v>13</v>
      </c>
      <c r="H83" s="0" t="str">
        <f aca="false">"295-306"</f>
        <v>295-306</v>
      </c>
      <c r="I83" s="0" t="s">
        <v>13</v>
      </c>
      <c r="J83" s="0" t="str">
        <f aca="false">"310-321"</f>
        <v>310-321</v>
      </c>
      <c r="K83" s="0" t="str">
        <f aca="false">"1.21"</f>
        <v>1.21</v>
      </c>
      <c r="L83" s="0" t="str">
        <f aca="false">"9.39"</f>
        <v>9.39</v>
      </c>
      <c r="M83" s="0" t="str">
        <f aca="false">"155.3"</f>
        <v>155.3</v>
      </c>
    </row>
    <row r="84" customFormat="false" ht="12.8" hidden="false" customHeight="false" outlineLevel="0" collapsed="false">
      <c r="A84" s="0" t="s">
        <v>1055</v>
      </c>
      <c r="B84" s="0" t="s">
        <v>9</v>
      </c>
      <c r="C84" s="0" t="str">
        <f aca="false">"618-629"</f>
        <v>618-629</v>
      </c>
      <c r="D84" s="0" t="s">
        <v>9</v>
      </c>
      <c r="E84" s="0" t="str">
        <f aca="false">"673-684"</f>
        <v>673-684</v>
      </c>
      <c r="F84" s="0" t="s">
        <v>1138</v>
      </c>
      <c r="G84" s="0" t="s">
        <v>9</v>
      </c>
      <c r="H84" s="0" t="str">
        <f aca="false">"44-55"</f>
        <v>44-55</v>
      </c>
      <c r="I84" s="0" t="s">
        <v>9</v>
      </c>
      <c r="J84" s="0" t="str">
        <f aca="false">"95-106"</f>
        <v>95-106</v>
      </c>
      <c r="K84" s="0" t="str">
        <f aca="false">"1.02"</f>
        <v>1.02</v>
      </c>
      <c r="L84" s="0" t="str">
        <f aca="false">"10.19"</f>
        <v>10.19</v>
      </c>
      <c r="M84" s="0" t="str">
        <f aca="false">"142.0"</f>
        <v>142.0</v>
      </c>
    </row>
    <row r="85" customFormat="false" ht="12.8" hidden="false" customHeight="false" outlineLevel="0" collapsed="false">
      <c r="A85" s="0" t="s">
        <v>1055</v>
      </c>
      <c r="B85" s="0" t="s">
        <v>9</v>
      </c>
      <c r="C85" s="0" t="str">
        <f aca="false">"614-625"</f>
        <v>614-625</v>
      </c>
      <c r="D85" s="0" t="s">
        <v>9</v>
      </c>
      <c r="E85" s="0" t="str">
        <f aca="false">"677-688"</f>
        <v>677-688</v>
      </c>
      <c r="F85" s="0" t="s">
        <v>1139</v>
      </c>
      <c r="G85" s="0" t="s">
        <v>9</v>
      </c>
      <c r="H85" s="0" t="str">
        <f aca="false">"861-872"</f>
        <v>861-872</v>
      </c>
      <c r="I85" s="0" t="s">
        <v>9</v>
      </c>
      <c r="J85" s="0" t="str">
        <f aca="false">"787-798"</f>
        <v>787-798</v>
      </c>
      <c r="K85" s="0" t="str">
        <f aca="false">"1.07"</f>
        <v>1.07</v>
      </c>
      <c r="L85" s="0" t="str">
        <f aca="false">"10.21"</f>
        <v>10.21</v>
      </c>
      <c r="M85" s="0" t="str">
        <f aca="false">"141.6"</f>
        <v>141.6</v>
      </c>
    </row>
    <row r="86" customFormat="false" ht="12.8" hidden="false" customHeight="false" outlineLevel="0" collapsed="false">
      <c r="A86" s="0" t="s">
        <v>1055</v>
      </c>
      <c r="B86" s="0" t="s">
        <v>9</v>
      </c>
      <c r="C86" s="0" t="str">
        <f aca="false">"614-625"</f>
        <v>614-625</v>
      </c>
      <c r="D86" s="0" t="s">
        <v>9</v>
      </c>
      <c r="E86" s="0" t="str">
        <f aca="false">"676-687"</f>
        <v>676-687</v>
      </c>
      <c r="F86" s="0" t="s">
        <v>1140</v>
      </c>
      <c r="G86" s="0" t="s">
        <v>9</v>
      </c>
      <c r="H86" s="0" t="str">
        <f aca="false">"111-122"</f>
        <v>111-122</v>
      </c>
      <c r="I86" s="0" t="s">
        <v>9</v>
      </c>
      <c r="J86" s="0" t="str">
        <f aca="false">"248-259"</f>
        <v>248-259</v>
      </c>
      <c r="K86" s="0" t="str">
        <f aca="false">"1.12"</f>
        <v>1.12</v>
      </c>
      <c r="L86" s="0" t="str">
        <f aca="false">"10.23"</f>
        <v>10.23</v>
      </c>
      <c r="M86" s="0" t="str">
        <f aca="false">"147.6"</f>
        <v>147.6</v>
      </c>
    </row>
    <row r="87" customFormat="false" ht="12.8" hidden="false" customHeight="false" outlineLevel="0" collapsed="false">
      <c r="A87" s="0" t="s">
        <v>1055</v>
      </c>
      <c r="B87" s="0" t="s">
        <v>9</v>
      </c>
      <c r="C87" s="0" t="str">
        <f aca="false">"618-629"</f>
        <v>618-629</v>
      </c>
      <c r="D87" s="0" t="s">
        <v>9</v>
      </c>
      <c r="E87" s="0" t="str">
        <f aca="false">"672-683"</f>
        <v>672-683</v>
      </c>
      <c r="F87" s="0" t="s">
        <v>1141</v>
      </c>
      <c r="G87" s="0" t="s">
        <v>13</v>
      </c>
      <c r="H87" s="0" t="str">
        <f aca="false">"151-162"</f>
        <v>151-162</v>
      </c>
      <c r="I87" s="0" t="s">
        <v>9</v>
      </c>
      <c r="J87" s="0" t="str">
        <f aca="false">"155-166"</f>
        <v>155-166</v>
      </c>
      <c r="K87" s="0" t="str">
        <f aca="false">"1.23"</f>
        <v>1.23</v>
      </c>
      <c r="L87" s="0" t="str">
        <f aca="false">"8.82"</f>
        <v>8.82</v>
      </c>
      <c r="M87" s="0" t="str">
        <f aca="false">"145.7"</f>
        <v>145.7</v>
      </c>
    </row>
    <row r="88" customFormat="false" ht="12.8" hidden="false" customHeight="false" outlineLevel="0" collapsed="false">
      <c r="A88" s="0" t="s">
        <v>1055</v>
      </c>
      <c r="B88" s="0" t="s">
        <v>9</v>
      </c>
      <c r="C88" s="0" t="str">
        <f aca="false">"618-629"</f>
        <v>618-629</v>
      </c>
      <c r="D88" s="0" t="s">
        <v>9</v>
      </c>
      <c r="E88" s="0" t="str">
        <f aca="false">"673-684"</f>
        <v>673-684</v>
      </c>
      <c r="F88" s="0" t="s">
        <v>1142</v>
      </c>
      <c r="G88" s="0" t="s">
        <v>9</v>
      </c>
      <c r="H88" s="0" t="str">
        <f aca="false">"113-124"</f>
        <v>113-124</v>
      </c>
      <c r="I88" s="0" t="s">
        <v>9</v>
      </c>
      <c r="J88" s="0" t="str">
        <f aca="false">"140-151"</f>
        <v>140-151</v>
      </c>
      <c r="K88" s="0" t="str">
        <f aca="false">"0.77"</f>
        <v>0.77</v>
      </c>
      <c r="L88" s="0" t="str">
        <f aca="false">"10.05"</f>
        <v>10.05</v>
      </c>
      <c r="M88" s="0" t="str">
        <f aca="false">"142.7"</f>
        <v>142.7</v>
      </c>
    </row>
    <row r="89" customFormat="false" ht="12.8" hidden="false" customHeight="false" outlineLevel="0" collapsed="false">
      <c r="A89" s="0" t="s">
        <v>1055</v>
      </c>
      <c r="B89" s="0" t="s">
        <v>9</v>
      </c>
      <c r="C89" s="0" t="str">
        <f aca="false">"615-626"</f>
        <v>615-626</v>
      </c>
      <c r="D89" s="0" t="s">
        <v>9</v>
      </c>
      <c r="E89" s="0" t="str">
        <f aca="false">"676-687"</f>
        <v>676-687</v>
      </c>
      <c r="F89" s="0" t="s">
        <v>1143</v>
      </c>
      <c r="G89" s="0" t="s">
        <v>9</v>
      </c>
      <c r="H89" s="0" t="str">
        <f aca="false">"148-159"</f>
        <v>148-159</v>
      </c>
      <c r="I89" s="0" t="s">
        <v>9</v>
      </c>
      <c r="J89" s="0" t="str">
        <f aca="false">"171-182"</f>
        <v>171-182</v>
      </c>
      <c r="K89" s="0" t="str">
        <f aca="false">"0.71"</f>
        <v>0.71</v>
      </c>
      <c r="L89" s="0" t="str">
        <f aca="false">"9.37"</f>
        <v>9.37</v>
      </c>
      <c r="M89" s="0" t="str">
        <f aca="false">"137.2"</f>
        <v>137.2</v>
      </c>
    </row>
    <row r="90" customFormat="false" ht="12.8" hidden="false" customHeight="false" outlineLevel="0" collapsed="false">
      <c r="A90" s="0" t="s">
        <v>1055</v>
      </c>
      <c r="B90" s="0" t="s">
        <v>9</v>
      </c>
      <c r="C90" s="0" t="str">
        <f aca="false">"618-629"</f>
        <v>618-629</v>
      </c>
      <c r="D90" s="0" t="s">
        <v>9</v>
      </c>
      <c r="E90" s="0" t="str">
        <f aca="false">"675-686"</f>
        <v>675-686</v>
      </c>
      <c r="F90" s="0" t="s">
        <v>1144</v>
      </c>
      <c r="G90" s="0" t="s">
        <v>9</v>
      </c>
      <c r="H90" s="0" t="str">
        <f aca="false">"281-292"</f>
        <v>281-292</v>
      </c>
      <c r="I90" s="0" t="s">
        <v>9</v>
      </c>
      <c r="J90" s="0" t="str">
        <f aca="false">"265-276"</f>
        <v>265-276</v>
      </c>
      <c r="K90" s="0" t="str">
        <f aca="false">"1.04"</f>
        <v>1.04</v>
      </c>
      <c r="L90" s="0" t="str">
        <f aca="false">"8.54"</f>
        <v>8.54</v>
      </c>
      <c r="M90" s="0" t="str">
        <f aca="false">"130.1"</f>
        <v>130.1</v>
      </c>
    </row>
    <row r="91" customFormat="false" ht="12.8" hidden="false" customHeight="false" outlineLevel="0" collapsed="false">
      <c r="A91" s="0" t="s">
        <v>1055</v>
      </c>
      <c r="B91" s="0" t="s">
        <v>9</v>
      </c>
      <c r="C91" s="0" t="str">
        <f aca="false">"618-629"</f>
        <v>618-629</v>
      </c>
      <c r="D91" s="0" t="s">
        <v>9</v>
      </c>
      <c r="E91" s="0" t="str">
        <f aca="false">"673-684"</f>
        <v>673-684</v>
      </c>
      <c r="F91" s="0" t="s">
        <v>1145</v>
      </c>
      <c r="G91" s="0" t="s">
        <v>9</v>
      </c>
      <c r="H91" s="0" t="str">
        <f aca="false">"142-153"</f>
        <v>142-153</v>
      </c>
      <c r="I91" s="0" t="s">
        <v>9</v>
      </c>
      <c r="J91" s="0" t="str">
        <f aca="false">"171-182"</f>
        <v>171-182</v>
      </c>
      <c r="K91" s="0" t="str">
        <f aca="false">"0.96"</f>
        <v>0.96</v>
      </c>
      <c r="L91" s="0" t="str">
        <f aca="false">"10.23"</f>
        <v>10.23</v>
      </c>
      <c r="M91" s="0" t="str">
        <f aca="false">"144.0"</f>
        <v>144.0</v>
      </c>
    </row>
    <row r="92" customFormat="false" ht="12.8" hidden="false" customHeight="false" outlineLevel="0" collapsed="false">
      <c r="A92" s="0" t="s">
        <v>1055</v>
      </c>
      <c r="B92" s="0" t="s">
        <v>9</v>
      </c>
      <c r="C92" s="0" t="str">
        <f aca="false">"617-628"</f>
        <v>617-628</v>
      </c>
      <c r="D92" s="0" t="s">
        <v>9</v>
      </c>
      <c r="E92" s="0" t="str">
        <f aca="false">"675-686"</f>
        <v>675-686</v>
      </c>
      <c r="F92" s="0" t="s">
        <v>1146</v>
      </c>
      <c r="G92" s="0" t="s">
        <v>9</v>
      </c>
      <c r="H92" s="0" t="str">
        <f aca="false">"183-194"</f>
        <v>183-194</v>
      </c>
      <c r="I92" s="0" t="s">
        <v>9</v>
      </c>
      <c r="J92" s="0" t="str">
        <f aca="false">"78-89"</f>
        <v>78-89</v>
      </c>
      <c r="K92" s="0" t="str">
        <f aca="false">"1.08"</f>
        <v>1.08</v>
      </c>
      <c r="L92" s="0" t="str">
        <f aca="false">"10.74"</f>
        <v>10.74</v>
      </c>
      <c r="M92" s="0" t="str">
        <f aca="false">"147.9"</f>
        <v>147.9</v>
      </c>
    </row>
    <row r="93" customFormat="false" ht="12.8" hidden="false" customHeight="false" outlineLevel="0" collapsed="false">
      <c r="A93" s="0" t="s">
        <v>1055</v>
      </c>
      <c r="B93" s="0" t="s">
        <v>9</v>
      </c>
      <c r="C93" s="0" t="str">
        <f aca="false">"615-626"</f>
        <v>615-626</v>
      </c>
      <c r="D93" s="0" t="s">
        <v>9</v>
      </c>
      <c r="E93" s="0" t="str">
        <f aca="false">"676-687"</f>
        <v>676-687</v>
      </c>
      <c r="F93" s="0" t="s">
        <v>1147</v>
      </c>
      <c r="G93" s="0" t="s">
        <v>9</v>
      </c>
      <c r="H93" s="0" t="str">
        <f aca="false">"166-177"</f>
        <v>166-177</v>
      </c>
      <c r="I93" s="0" t="s">
        <v>9</v>
      </c>
      <c r="J93" s="0" t="str">
        <f aca="false">"49-60"</f>
        <v>49-60</v>
      </c>
      <c r="K93" s="0" t="str">
        <f aca="false">"0.64"</f>
        <v>0.64</v>
      </c>
      <c r="L93" s="0" t="str">
        <f aca="false">"9.24"</f>
        <v>9.24</v>
      </c>
      <c r="M93" s="0" t="str">
        <f aca="false">"137.2"</f>
        <v>137.2</v>
      </c>
    </row>
    <row r="94" customFormat="false" ht="12.8" hidden="false" customHeight="false" outlineLevel="0" collapsed="false">
      <c r="A94" s="0" t="s">
        <v>1055</v>
      </c>
      <c r="B94" s="0" t="s">
        <v>9</v>
      </c>
      <c r="C94" s="0" t="str">
        <f aca="false">"618-629"</f>
        <v>618-629</v>
      </c>
      <c r="D94" s="0" t="s">
        <v>9</v>
      </c>
      <c r="E94" s="0" t="str">
        <f aca="false">"673-684"</f>
        <v>673-684</v>
      </c>
      <c r="F94" s="0" t="s">
        <v>1148</v>
      </c>
      <c r="G94" s="0" t="s">
        <v>120</v>
      </c>
      <c r="H94" s="0" t="str">
        <f aca="false">"6-17"</f>
        <v>6-17</v>
      </c>
      <c r="I94" s="0" t="s">
        <v>120</v>
      </c>
      <c r="J94" s="0" t="str">
        <f aca="false">"371-382"</f>
        <v>371-382</v>
      </c>
      <c r="K94" s="0" t="str">
        <f aca="false">"0.49"</f>
        <v>0.49</v>
      </c>
      <c r="L94" s="0" t="str">
        <f aca="false">"9.41"</f>
        <v>9.41</v>
      </c>
      <c r="M94" s="0" t="str">
        <f aca="false">"144.0"</f>
        <v>144.0</v>
      </c>
    </row>
    <row r="95" customFormat="false" ht="12.8" hidden="false" customHeight="false" outlineLevel="0" collapsed="false">
      <c r="A95" s="0" t="s">
        <v>1055</v>
      </c>
      <c r="B95" s="0" t="s">
        <v>9</v>
      </c>
      <c r="C95" s="0" t="str">
        <f aca="false">"621-632"</f>
        <v>621-632</v>
      </c>
      <c r="D95" s="0" t="s">
        <v>9</v>
      </c>
      <c r="E95" s="0" t="str">
        <f aca="false">"672-683"</f>
        <v>672-683</v>
      </c>
      <c r="F95" s="0" t="s">
        <v>1149</v>
      </c>
      <c r="G95" s="0" t="s">
        <v>9</v>
      </c>
      <c r="H95" s="0" t="str">
        <f aca="false">"138-149"</f>
        <v>138-149</v>
      </c>
      <c r="I95" s="0" t="s">
        <v>9</v>
      </c>
      <c r="J95" s="0" t="str">
        <f aca="false">"231-242"</f>
        <v>231-242</v>
      </c>
      <c r="K95" s="0" t="str">
        <f aca="false">"0.94"</f>
        <v>0.94</v>
      </c>
      <c r="L95" s="0" t="str">
        <f aca="false">"8.72"</f>
        <v>8.72</v>
      </c>
      <c r="M95" s="0" t="str">
        <f aca="false">"147.6"</f>
        <v>147.6</v>
      </c>
    </row>
    <row r="96" customFormat="false" ht="12.8" hidden="false" customHeight="false" outlineLevel="0" collapsed="false">
      <c r="A96" s="0" t="s">
        <v>1055</v>
      </c>
      <c r="B96" s="0" t="s">
        <v>9</v>
      </c>
      <c r="C96" s="0" t="str">
        <f aca="false">"614-625"</f>
        <v>614-625</v>
      </c>
      <c r="D96" s="0" t="s">
        <v>9</v>
      </c>
      <c r="E96" s="0" t="str">
        <f aca="false">"677-688"</f>
        <v>677-688</v>
      </c>
      <c r="F96" s="0" t="s">
        <v>1150</v>
      </c>
      <c r="G96" s="0" t="s">
        <v>9</v>
      </c>
      <c r="H96" s="0" t="str">
        <f aca="false">"506-517"</f>
        <v>506-517</v>
      </c>
      <c r="I96" s="0" t="s">
        <v>9</v>
      </c>
      <c r="J96" s="0" t="str">
        <f aca="false">"645-656"</f>
        <v>645-656</v>
      </c>
      <c r="K96" s="0" t="str">
        <f aca="false">"1.21"</f>
        <v>1.21</v>
      </c>
      <c r="L96" s="0" t="str">
        <f aca="false">"9.42"</f>
        <v>9.42</v>
      </c>
      <c r="M96" s="0" t="str">
        <f aca="false">"145.4"</f>
        <v>145.4</v>
      </c>
    </row>
    <row r="97" customFormat="false" ht="12.8" hidden="false" customHeight="false" outlineLevel="0" collapsed="false">
      <c r="A97" s="0" t="s">
        <v>1055</v>
      </c>
      <c r="B97" s="0" t="s">
        <v>9</v>
      </c>
      <c r="C97" s="0" t="str">
        <f aca="false">"617-628"</f>
        <v>617-628</v>
      </c>
      <c r="D97" s="0" t="s">
        <v>9</v>
      </c>
      <c r="E97" s="0" t="str">
        <f aca="false">"673-684"</f>
        <v>673-684</v>
      </c>
      <c r="F97" s="0" t="s">
        <v>1151</v>
      </c>
      <c r="G97" s="0" t="s">
        <v>9</v>
      </c>
      <c r="H97" s="0" t="str">
        <f aca="false">"408-419"</f>
        <v>408-419</v>
      </c>
      <c r="I97" s="0" t="s">
        <v>9</v>
      </c>
      <c r="J97" s="0" t="str">
        <f aca="false">"130-141"</f>
        <v>130-141</v>
      </c>
      <c r="K97" s="0" t="str">
        <f aca="false">"1.16"</f>
        <v>1.16</v>
      </c>
      <c r="L97" s="0" t="str">
        <f aca="false">"10.28"</f>
        <v>10.28</v>
      </c>
      <c r="M97" s="0" t="str">
        <f aca="false">"143.0"</f>
        <v>143.0</v>
      </c>
    </row>
    <row r="98" customFormat="false" ht="12.8" hidden="false" customHeight="false" outlineLevel="0" collapsed="false">
      <c r="A98" s="0" t="s">
        <v>1055</v>
      </c>
      <c r="B98" s="0" t="s">
        <v>9</v>
      </c>
      <c r="C98" s="0" t="str">
        <f aca="false">"618-629"</f>
        <v>618-629</v>
      </c>
      <c r="D98" s="0" t="s">
        <v>9</v>
      </c>
      <c r="E98" s="0" t="str">
        <f aca="false">"672-683"</f>
        <v>672-683</v>
      </c>
      <c r="F98" s="0" t="s">
        <v>1152</v>
      </c>
      <c r="G98" s="0" t="s">
        <v>71</v>
      </c>
      <c r="H98" s="0" t="str">
        <f aca="false">"505-516"</f>
        <v>505-516</v>
      </c>
      <c r="I98" s="0" t="s">
        <v>71</v>
      </c>
      <c r="J98" s="0" t="str">
        <f aca="false">"67-78"</f>
        <v>67-78</v>
      </c>
      <c r="K98" s="0" t="str">
        <f aca="false">"1.14"</f>
        <v>1.14</v>
      </c>
      <c r="L98" s="0" t="str">
        <f aca="false">"9.47"</f>
        <v>9.47</v>
      </c>
      <c r="M98" s="0" t="str">
        <f aca="false">"156.0"</f>
        <v>156.0</v>
      </c>
    </row>
    <row r="99" customFormat="false" ht="12.8" hidden="false" customHeight="false" outlineLevel="0" collapsed="false">
      <c r="A99" s="0" t="s">
        <v>1055</v>
      </c>
      <c r="B99" s="0" t="s">
        <v>9</v>
      </c>
      <c r="C99" s="0" t="str">
        <f aca="false">"615-626"</f>
        <v>615-626</v>
      </c>
      <c r="D99" s="0" t="s">
        <v>9</v>
      </c>
      <c r="E99" s="0" t="str">
        <f aca="false">"676-687"</f>
        <v>676-687</v>
      </c>
      <c r="F99" s="0" t="s">
        <v>1153</v>
      </c>
      <c r="G99" s="0" t="s">
        <v>9</v>
      </c>
      <c r="H99" s="0" t="str">
        <f aca="false">"165-176"</f>
        <v>165-176</v>
      </c>
      <c r="I99" s="0" t="s">
        <v>9</v>
      </c>
      <c r="J99" s="0" t="str">
        <f aca="false">"185-196"</f>
        <v>185-196</v>
      </c>
      <c r="K99" s="0" t="str">
        <f aca="false">"0.65"</f>
        <v>0.65</v>
      </c>
      <c r="L99" s="0" t="str">
        <f aca="false">"10.67"</f>
        <v>10.67</v>
      </c>
      <c r="M99" s="0" t="str">
        <f aca="false">"147.3"</f>
        <v>147.3</v>
      </c>
    </row>
    <row r="100" customFormat="false" ht="12.8" hidden="false" customHeight="false" outlineLevel="0" collapsed="false">
      <c r="A100" s="0" t="s">
        <v>1055</v>
      </c>
      <c r="B100" s="0" t="s">
        <v>9</v>
      </c>
      <c r="C100" s="0" t="str">
        <f aca="false">"619-630"</f>
        <v>619-630</v>
      </c>
      <c r="D100" s="0" t="s">
        <v>9</v>
      </c>
      <c r="E100" s="0" t="str">
        <f aca="false">"672-683"</f>
        <v>672-683</v>
      </c>
      <c r="F100" s="0" t="s">
        <v>1154</v>
      </c>
      <c r="G100" s="0" t="s">
        <v>9</v>
      </c>
      <c r="H100" s="0" t="str">
        <f aca="false">"487-498"</f>
        <v>487-498</v>
      </c>
      <c r="I100" s="0" t="s">
        <v>9</v>
      </c>
      <c r="J100" s="0" t="str">
        <f aca="false">"442-453"</f>
        <v>442-453</v>
      </c>
      <c r="K100" s="0" t="str">
        <f aca="false">"0.97"</f>
        <v>0.97</v>
      </c>
      <c r="L100" s="0" t="str">
        <f aca="false">"8.29"</f>
        <v>8.29</v>
      </c>
      <c r="M100" s="0" t="str">
        <f aca="false">"124.4"</f>
        <v>124.4</v>
      </c>
    </row>
    <row r="101" customFormat="false" ht="12.8" hidden="false" customHeight="false" outlineLevel="0" collapsed="false">
      <c r="A101" s="0" t="s">
        <v>1055</v>
      </c>
      <c r="B101" s="0" t="s">
        <v>9</v>
      </c>
      <c r="C101" s="0" t="str">
        <f aca="false">"618-629"</f>
        <v>618-629</v>
      </c>
      <c r="D101" s="0" t="s">
        <v>9</v>
      </c>
      <c r="E101" s="0" t="str">
        <f aca="false">"673-684"</f>
        <v>673-684</v>
      </c>
      <c r="F101" s="0" t="s">
        <v>1155</v>
      </c>
      <c r="G101" s="0" t="s">
        <v>9</v>
      </c>
      <c r="H101" s="0" t="str">
        <f aca="false">"258-269"</f>
        <v>258-269</v>
      </c>
      <c r="I101" s="0" t="s">
        <v>9</v>
      </c>
      <c r="J101" s="0" t="str">
        <f aca="false">"233-244"</f>
        <v>233-244</v>
      </c>
      <c r="K101" s="0" t="str">
        <f aca="false">"1.18"</f>
        <v>1.18</v>
      </c>
      <c r="L101" s="0" t="str">
        <f aca="false">"8.69"</f>
        <v>8.69</v>
      </c>
      <c r="M101" s="0" t="str">
        <f aca="false">"115.7"</f>
        <v>115.7</v>
      </c>
    </row>
    <row r="102" customFormat="false" ht="12.8" hidden="false" customHeight="false" outlineLevel="0" collapsed="false">
      <c r="A102" s="0" t="s">
        <v>1055</v>
      </c>
      <c r="B102" s="0" t="s">
        <v>9</v>
      </c>
      <c r="C102" s="0" t="str">
        <f aca="false">"618-629"</f>
        <v>618-629</v>
      </c>
      <c r="D102" s="0" t="s">
        <v>9</v>
      </c>
      <c r="E102" s="0" t="str">
        <f aca="false">"673-684"</f>
        <v>673-684</v>
      </c>
      <c r="F102" s="0" t="s">
        <v>1156</v>
      </c>
      <c r="G102" s="0" t="s">
        <v>9</v>
      </c>
      <c r="H102" s="0" t="str">
        <f aca="false">"134-145"</f>
        <v>134-145</v>
      </c>
      <c r="I102" s="0" t="s">
        <v>9</v>
      </c>
      <c r="J102" s="0" t="str">
        <f aca="false">"159-170"</f>
        <v>159-170</v>
      </c>
      <c r="K102" s="0" t="str">
        <f aca="false">"1.07"</f>
        <v>1.07</v>
      </c>
      <c r="L102" s="0" t="str">
        <f aca="false">"10.49"</f>
        <v>10.49</v>
      </c>
      <c r="M102" s="0" t="str">
        <f aca="false">"130.4"</f>
        <v>130.4</v>
      </c>
    </row>
    <row r="103" customFormat="false" ht="12.8" hidden="false" customHeight="false" outlineLevel="0" collapsed="false">
      <c r="A103" s="0" t="s">
        <v>1055</v>
      </c>
      <c r="B103" s="0" t="s">
        <v>9</v>
      </c>
      <c r="C103" s="0" t="str">
        <f aca="false">"618-629"</f>
        <v>618-629</v>
      </c>
      <c r="D103" s="0" t="s">
        <v>9</v>
      </c>
      <c r="E103" s="0" t="str">
        <f aca="false">"672-683"</f>
        <v>672-683</v>
      </c>
      <c r="F103" s="0" t="s">
        <v>1157</v>
      </c>
      <c r="G103" s="0" t="s">
        <v>9</v>
      </c>
      <c r="H103" s="0" t="str">
        <f aca="false">"592-603"</f>
        <v>592-603</v>
      </c>
      <c r="I103" s="0" t="s">
        <v>9</v>
      </c>
      <c r="J103" s="0" t="str">
        <f aca="false">"568-579"</f>
        <v>568-579</v>
      </c>
      <c r="K103" s="0" t="str">
        <f aca="false">"0.81"</f>
        <v>0.81</v>
      </c>
      <c r="L103" s="0" t="str">
        <f aca="false">"10.57"</f>
        <v>10.57</v>
      </c>
      <c r="M103" s="0" t="str">
        <f aca="false">"127.6"</f>
        <v>127.6</v>
      </c>
    </row>
    <row r="104" customFormat="false" ht="12.8" hidden="false" customHeight="false" outlineLevel="0" collapsed="false">
      <c r="A104" s="0" t="s">
        <v>1055</v>
      </c>
      <c r="B104" s="0" t="s">
        <v>9</v>
      </c>
      <c r="C104" s="0" t="str">
        <f aca="false">"618-629"</f>
        <v>618-629</v>
      </c>
      <c r="D104" s="0" t="s">
        <v>9</v>
      </c>
      <c r="E104" s="0" t="str">
        <f aca="false">"676-687"</f>
        <v>676-687</v>
      </c>
      <c r="F104" s="0" t="s">
        <v>1158</v>
      </c>
      <c r="G104" s="0" t="s">
        <v>9</v>
      </c>
      <c r="H104" s="0" t="str">
        <f aca="false">"31-42"</f>
        <v>31-42</v>
      </c>
      <c r="I104" s="0" t="s">
        <v>9</v>
      </c>
      <c r="J104" s="0" t="str">
        <f aca="false">"9-20"</f>
        <v>9-20</v>
      </c>
      <c r="K104" s="0" t="str">
        <f aca="false">"1.23"</f>
        <v>1.23</v>
      </c>
      <c r="L104" s="0" t="str">
        <f aca="false">"10.65"</f>
        <v>10.65</v>
      </c>
      <c r="M104" s="0" t="str">
        <f aca="false">"124.0"</f>
        <v>124.0</v>
      </c>
    </row>
    <row r="105" customFormat="false" ht="12.8" hidden="false" customHeight="false" outlineLevel="0" collapsed="false">
      <c r="A105" s="0" t="s">
        <v>1055</v>
      </c>
      <c r="B105" s="0" t="s">
        <v>9</v>
      </c>
      <c r="C105" s="0" t="str">
        <f aca="false">"619-630"</f>
        <v>619-630</v>
      </c>
      <c r="D105" s="0" t="s">
        <v>9</v>
      </c>
      <c r="E105" s="0" t="str">
        <f aca="false">"673-684"</f>
        <v>673-684</v>
      </c>
      <c r="F105" s="0" t="s">
        <v>1159</v>
      </c>
      <c r="G105" s="0" t="s">
        <v>9</v>
      </c>
      <c r="H105" s="0" t="str">
        <f aca="false">"53-64"</f>
        <v>53-64</v>
      </c>
      <c r="I105" s="0" t="s">
        <v>9</v>
      </c>
      <c r="J105" s="0" t="str">
        <f aca="false">"20-31"</f>
        <v>20-31</v>
      </c>
      <c r="K105" s="0" t="str">
        <f aca="false">"1.19"</f>
        <v>1.19</v>
      </c>
      <c r="L105" s="0" t="str">
        <f aca="false">"10.49"</f>
        <v>10.49</v>
      </c>
      <c r="M105" s="0" t="str">
        <f aca="false">"129.0"</f>
        <v>129.0</v>
      </c>
    </row>
    <row r="106" customFormat="false" ht="12.8" hidden="false" customHeight="false" outlineLevel="0" collapsed="false">
      <c r="A106" s="0" t="s">
        <v>1055</v>
      </c>
      <c r="B106" s="0" t="s">
        <v>9</v>
      </c>
      <c r="C106" s="0" t="str">
        <f aca="false">"615-626"</f>
        <v>615-626</v>
      </c>
      <c r="D106" s="0" t="s">
        <v>9</v>
      </c>
      <c r="E106" s="0" t="str">
        <f aca="false">"673-684"</f>
        <v>673-684</v>
      </c>
      <c r="F106" s="0" t="s">
        <v>1160</v>
      </c>
      <c r="G106" s="0" t="s">
        <v>9</v>
      </c>
      <c r="H106" s="0" t="str">
        <f aca="false">"263-274"</f>
        <v>263-274</v>
      </c>
      <c r="I106" s="0" t="s">
        <v>9</v>
      </c>
      <c r="J106" s="0" t="str">
        <f aca="false">"241-252"</f>
        <v>241-252</v>
      </c>
      <c r="K106" s="0" t="str">
        <f aca="false">"1.09"</f>
        <v>1.09</v>
      </c>
      <c r="L106" s="0" t="str">
        <f aca="false">"11.00"</f>
        <v>11.00</v>
      </c>
      <c r="M106" s="0" t="str">
        <f aca="false">"128.8"</f>
        <v>128.8</v>
      </c>
    </row>
    <row r="107" customFormat="false" ht="12.8" hidden="false" customHeight="false" outlineLevel="0" collapsed="false">
      <c r="A107" s="0" t="s">
        <v>1055</v>
      </c>
      <c r="B107" s="0" t="s">
        <v>9</v>
      </c>
      <c r="C107" s="0" t="str">
        <f aca="false">"614-625"</f>
        <v>614-625</v>
      </c>
      <c r="D107" s="0" t="s">
        <v>9</v>
      </c>
      <c r="E107" s="0" t="str">
        <f aca="false">"677-688"</f>
        <v>677-688</v>
      </c>
      <c r="F107" s="0" t="s">
        <v>1161</v>
      </c>
      <c r="G107" s="0" t="s">
        <v>13</v>
      </c>
      <c r="H107" s="0" t="str">
        <f aca="false">"394-405"</f>
        <v>394-405</v>
      </c>
      <c r="I107" s="0" t="s">
        <v>13</v>
      </c>
      <c r="J107" s="0" t="str">
        <f aca="false">"425-436"</f>
        <v>425-436</v>
      </c>
      <c r="K107" s="0" t="str">
        <f aca="false">"0.97"</f>
        <v>0.97</v>
      </c>
      <c r="L107" s="0" t="str">
        <f aca="false">"9.98"</f>
        <v>9.98</v>
      </c>
      <c r="M107" s="0" t="str">
        <f aca="false">"124.7"</f>
        <v>124.7</v>
      </c>
    </row>
    <row r="108" customFormat="false" ht="12.8" hidden="false" customHeight="false" outlineLevel="0" collapsed="false">
      <c r="A108" s="0" t="s">
        <v>1055</v>
      </c>
      <c r="B108" s="0" t="s">
        <v>9</v>
      </c>
      <c r="C108" s="0" t="str">
        <f aca="false">"618-629"</f>
        <v>618-629</v>
      </c>
      <c r="D108" s="0" t="s">
        <v>9</v>
      </c>
      <c r="E108" s="0" t="str">
        <f aca="false">"676-687"</f>
        <v>676-687</v>
      </c>
      <c r="F108" s="0" t="s">
        <v>1162</v>
      </c>
      <c r="G108" s="0" t="s">
        <v>9</v>
      </c>
      <c r="H108" s="0" t="str">
        <f aca="false">"1067-1078"</f>
        <v>1067-1078</v>
      </c>
      <c r="I108" s="0" t="s">
        <v>9</v>
      </c>
      <c r="J108" s="0" t="str">
        <f aca="false">"1004-1015"</f>
        <v>1004-1015</v>
      </c>
      <c r="K108" s="0" t="str">
        <f aca="false">"1.10"</f>
        <v>1.10</v>
      </c>
      <c r="L108" s="0" t="str">
        <f aca="false">"9.60"</f>
        <v>9.60</v>
      </c>
      <c r="M108" s="0" t="str">
        <f aca="false">"128.6"</f>
        <v>128.6</v>
      </c>
    </row>
    <row r="109" customFormat="false" ht="12.8" hidden="false" customHeight="false" outlineLevel="0" collapsed="false">
      <c r="A109" s="0" t="s">
        <v>1055</v>
      </c>
      <c r="B109" s="0" t="s">
        <v>9</v>
      </c>
      <c r="C109" s="0" t="str">
        <f aca="false">"617-628"</f>
        <v>617-628</v>
      </c>
      <c r="D109" s="0" t="s">
        <v>9</v>
      </c>
      <c r="E109" s="0" t="str">
        <f aca="false">"673-684"</f>
        <v>673-684</v>
      </c>
      <c r="F109" s="0" t="s">
        <v>1163</v>
      </c>
      <c r="G109" s="0" t="s">
        <v>9</v>
      </c>
      <c r="H109" s="0" t="str">
        <f aca="false">"211-222"</f>
        <v>211-222</v>
      </c>
      <c r="I109" s="0" t="s">
        <v>9</v>
      </c>
      <c r="J109" s="0" t="str">
        <f aca="false">"228-239"</f>
        <v>228-239</v>
      </c>
      <c r="K109" s="0" t="str">
        <f aca="false">"0.93"</f>
        <v>0.93</v>
      </c>
      <c r="L109" s="0" t="str">
        <f aca="false">"9.22"</f>
        <v>9.22</v>
      </c>
      <c r="M109" s="0" t="str">
        <f aca="false">"132.8"</f>
        <v>132.8</v>
      </c>
    </row>
    <row r="110" customFormat="false" ht="12.8" hidden="false" customHeight="false" outlineLevel="0" collapsed="false">
      <c r="A110" s="0" t="s">
        <v>1055</v>
      </c>
      <c r="B110" s="0" t="s">
        <v>9</v>
      </c>
      <c r="C110" s="0" t="str">
        <f aca="false">"618-629"</f>
        <v>618-629</v>
      </c>
      <c r="D110" s="0" t="s">
        <v>9</v>
      </c>
      <c r="E110" s="0" t="str">
        <f aca="false">"675-686"</f>
        <v>675-686</v>
      </c>
      <c r="F110" s="0" t="s">
        <v>1164</v>
      </c>
      <c r="G110" s="0" t="s">
        <v>13</v>
      </c>
      <c r="H110" s="0" t="str">
        <f aca="false">"103-114"</f>
        <v>103-114</v>
      </c>
      <c r="I110" s="0" t="s">
        <v>13</v>
      </c>
      <c r="J110" s="0" t="str">
        <f aca="false">"64-75"</f>
        <v>64-75</v>
      </c>
      <c r="K110" s="0" t="str">
        <f aca="false">"1.21"</f>
        <v>1.21</v>
      </c>
      <c r="L110" s="0" t="str">
        <f aca="false">"9.15"</f>
        <v>9.15</v>
      </c>
      <c r="M110" s="0" t="str">
        <f aca="false">"140.2"</f>
        <v>140.2</v>
      </c>
    </row>
    <row r="111" customFormat="false" ht="12.8" hidden="false" customHeight="false" outlineLevel="0" collapsed="false">
      <c r="A111" s="0" t="s">
        <v>1055</v>
      </c>
      <c r="B111" s="0" t="s">
        <v>9</v>
      </c>
      <c r="C111" s="0" t="str">
        <f aca="false">"615-626"</f>
        <v>615-626</v>
      </c>
      <c r="D111" s="0" t="s">
        <v>9</v>
      </c>
      <c r="E111" s="0" t="str">
        <f aca="false">"674-685"</f>
        <v>674-685</v>
      </c>
      <c r="F111" s="0" t="s">
        <v>1165</v>
      </c>
      <c r="G111" s="0" t="s">
        <v>13</v>
      </c>
      <c r="H111" s="0" t="str">
        <f aca="false">"142-153"</f>
        <v>142-153</v>
      </c>
      <c r="I111" s="0" t="s">
        <v>13</v>
      </c>
      <c r="J111" s="0" t="str">
        <f aca="false">"107-118"</f>
        <v>107-118</v>
      </c>
      <c r="K111" s="0" t="str">
        <f aca="false">"1.21"</f>
        <v>1.21</v>
      </c>
      <c r="L111" s="0" t="str">
        <f aca="false">"10.00"</f>
        <v>10.00</v>
      </c>
      <c r="M111" s="0" t="str">
        <f aca="false">"151.5"</f>
        <v>151.5</v>
      </c>
    </row>
    <row r="112" customFormat="false" ht="12.8" hidden="false" customHeight="false" outlineLevel="0" collapsed="false">
      <c r="A112" s="0" t="s">
        <v>1055</v>
      </c>
      <c r="B112" s="0" t="s">
        <v>9</v>
      </c>
      <c r="C112" s="0" t="str">
        <f aca="false">"618-629"</f>
        <v>618-629</v>
      </c>
      <c r="D112" s="0" t="s">
        <v>9</v>
      </c>
      <c r="E112" s="0" t="str">
        <f aca="false">"673-684"</f>
        <v>673-684</v>
      </c>
      <c r="F112" s="0" t="s">
        <v>1166</v>
      </c>
      <c r="G112" s="0" t="s">
        <v>9</v>
      </c>
      <c r="H112" s="0" t="str">
        <f aca="false">"15-26"</f>
        <v>15-26</v>
      </c>
      <c r="I112" s="0" t="s">
        <v>9</v>
      </c>
      <c r="J112" s="0" t="str">
        <f aca="false">"44-55"</f>
        <v>44-55</v>
      </c>
      <c r="K112" s="0" t="str">
        <f aca="false">"0.70"</f>
        <v>0.70</v>
      </c>
      <c r="L112" s="0" t="str">
        <f aca="false">"9.90"</f>
        <v>9.90</v>
      </c>
      <c r="M112" s="0" t="str">
        <f aca="false">"146.8"</f>
        <v>146.8</v>
      </c>
    </row>
    <row r="113" customFormat="false" ht="12.8" hidden="false" customHeight="false" outlineLevel="0" collapsed="false">
      <c r="A113" s="0" t="s">
        <v>1055</v>
      </c>
      <c r="B113" s="0" t="s">
        <v>9</v>
      </c>
      <c r="C113" s="0" t="str">
        <f aca="false">"615-626"</f>
        <v>615-626</v>
      </c>
      <c r="D113" s="0" t="s">
        <v>9</v>
      </c>
      <c r="E113" s="0" t="str">
        <f aca="false">"676-687"</f>
        <v>676-687</v>
      </c>
      <c r="F113" s="0" t="s">
        <v>1167</v>
      </c>
      <c r="G113" s="0" t="s">
        <v>13</v>
      </c>
      <c r="H113" s="0" t="str">
        <f aca="false">"157-168"</f>
        <v>157-168</v>
      </c>
      <c r="I113" s="0" t="s">
        <v>13</v>
      </c>
      <c r="J113" s="0" t="str">
        <f aca="false">"128-139"</f>
        <v>128-139</v>
      </c>
      <c r="K113" s="0" t="str">
        <f aca="false">"0.90"</f>
        <v>0.90</v>
      </c>
      <c r="L113" s="0" t="str">
        <f aca="false">"9.75"</f>
        <v>9.75</v>
      </c>
      <c r="M113" s="0" t="str">
        <f aca="false">"145.5"</f>
        <v>145.5</v>
      </c>
    </row>
    <row r="114" customFormat="false" ht="12.8" hidden="false" customHeight="false" outlineLevel="0" collapsed="false">
      <c r="A114" s="0" t="s">
        <v>1055</v>
      </c>
      <c r="B114" s="0" t="s">
        <v>9</v>
      </c>
      <c r="C114" s="0" t="str">
        <f aca="false">"618-629"</f>
        <v>618-629</v>
      </c>
      <c r="D114" s="0" t="s">
        <v>9</v>
      </c>
      <c r="E114" s="0" t="str">
        <f aca="false">"673-684"</f>
        <v>673-684</v>
      </c>
      <c r="F114" s="0" t="s">
        <v>1168</v>
      </c>
      <c r="G114" s="0" t="s">
        <v>13</v>
      </c>
      <c r="H114" s="0" t="str">
        <f aca="false">"335-346"</f>
        <v>335-346</v>
      </c>
      <c r="I114" s="0" t="s">
        <v>13</v>
      </c>
      <c r="J114" s="0" t="str">
        <f aca="false">"353-364"</f>
        <v>353-364</v>
      </c>
      <c r="K114" s="0" t="str">
        <f aca="false">"1.21"</f>
        <v>1.21</v>
      </c>
      <c r="L114" s="0" t="str">
        <f aca="false">"8.97"</f>
        <v>8.97</v>
      </c>
      <c r="M114" s="0" t="str">
        <f aca="false">"151.4"</f>
        <v>151.4</v>
      </c>
    </row>
    <row r="115" customFormat="false" ht="12.8" hidden="false" customHeight="false" outlineLevel="0" collapsed="false">
      <c r="A115" s="0" t="s">
        <v>1055</v>
      </c>
      <c r="B115" s="0" t="s">
        <v>9</v>
      </c>
      <c r="C115" s="0" t="str">
        <f aca="false">"618-629"</f>
        <v>618-629</v>
      </c>
      <c r="D115" s="0" t="s">
        <v>9</v>
      </c>
      <c r="E115" s="0" t="str">
        <f aca="false">"673-684"</f>
        <v>673-684</v>
      </c>
      <c r="F115" s="0" t="s">
        <v>1169</v>
      </c>
      <c r="G115" s="0" t="s">
        <v>9</v>
      </c>
      <c r="H115" s="0" t="str">
        <f aca="false">"115-126"</f>
        <v>115-126</v>
      </c>
      <c r="I115" s="0" t="s">
        <v>9</v>
      </c>
      <c r="J115" s="0" t="str">
        <f aca="false">"145-156"</f>
        <v>145-156</v>
      </c>
      <c r="K115" s="0" t="str">
        <f aca="false">"1.00"</f>
        <v>1.00</v>
      </c>
      <c r="L115" s="0" t="str">
        <f aca="false">"9.83"</f>
        <v>9.83</v>
      </c>
      <c r="M115" s="0" t="str">
        <f aca="false">"146.9"</f>
        <v>146.9</v>
      </c>
    </row>
    <row r="116" customFormat="false" ht="12.8" hidden="false" customHeight="false" outlineLevel="0" collapsed="false">
      <c r="A116" s="0" t="s">
        <v>1055</v>
      </c>
      <c r="B116" s="0" t="s">
        <v>9</v>
      </c>
      <c r="C116" s="0" t="str">
        <f aca="false">"618-629"</f>
        <v>618-629</v>
      </c>
      <c r="D116" s="0" t="s">
        <v>9</v>
      </c>
      <c r="E116" s="0" t="str">
        <f aca="false">"673-684"</f>
        <v>673-684</v>
      </c>
      <c r="F116" s="0" t="s">
        <v>1170</v>
      </c>
      <c r="G116" s="0" t="s">
        <v>9</v>
      </c>
      <c r="H116" s="0" t="str">
        <f aca="false">"120-131"</f>
        <v>120-131</v>
      </c>
      <c r="I116" s="0" t="s">
        <v>9</v>
      </c>
      <c r="J116" s="0" t="str">
        <f aca="false">"149-160"</f>
        <v>149-160</v>
      </c>
      <c r="K116" s="0" t="str">
        <f aca="false">"1.21"</f>
        <v>1.21</v>
      </c>
      <c r="L116" s="0" t="str">
        <f aca="false">"10.17"</f>
        <v>10.17</v>
      </c>
      <c r="M116" s="0" t="str">
        <f aca="false">"152.6"</f>
        <v>152.6</v>
      </c>
    </row>
    <row r="117" customFormat="false" ht="12.8" hidden="false" customHeight="false" outlineLevel="0" collapsed="false">
      <c r="A117" s="0" t="s">
        <v>1055</v>
      </c>
      <c r="B117" s="0" t="s">
        <v>9</v>
      </c>
      <c r="C117" s="0" t="str">
        <f aca="false">"618-629"</f>
        <v>618-629</v>
      </c>
      <c r="D117" s="0" t="s">
        <v>9</v>
      </c>
      <c r="E117" s="0" t="str">
        <f aca="false">"673-684"</f>
        <v>673-684</v>
      </c>
      <c r="F117" s="0" t="s">
        <v>1171</v>
      </c>
      <c r="G117" s="0" t="s">
        <v>9</v>
      </c>
      <c r="H117" s="0" t="str">
        <f aca="false">"21-32"</f>
        <v>21-32</v>
      </c>
      <c r="I117" s="0" t="s">
        <v>9</v>
      </c>
      <c r="J117" s="0" t="str">
        <f aca="false">"89-100"</f>
        <v>89-100</v>
      </c>
      <c r="K117" s="0" t="str">
        <f aca="false">"1.19"</f>
        <v>1.19</v>
      </c>
      <c r="L117" s="0" t="str">
        <f aca="false">"9.36"</f>
        <v>9.36</v>
      </c>
      <c r="M117" s="0" t="str">
        <f aca="false">"128.6"</f>
        <v>128.6</v>
      </c>
    </row>
    <row r="118" customFormat="false" ht="12.8" hidden="false" customHeight="false" outlineLevel="0" collapsed="false">
      <c r="A118" s="0" t="s">
        <v>1055</v>
      </c>
      <c r="B118" s="0" t="s">
        <v>9</v>
      </c>
      <c r="C118" s="0" t="str">
        <f aca="false">"617-628"</f>
        <v>617-628</v>
      </c>
      <c r="D118" s="0" t="s">
        <v>9</v>
      </c>
      <c r="E118" s="0" t="str">
        <f aca="false">"672-683"</f>
        <v>672-683</v>
      </c>
      <c r="F118" s="0" t="s">
        <v>1172</v>
      </c>
      <c r="G118" s="0" t="s">
        <v>9</v>
      </c>
      <c r="H118" s="0" t="str">
        <f aca="false">"64-75"</f>
        <v>64-75</v>
      </c>
      <c r="I118" s="0" t="s">
        <v>9</v>
      </c>
      <c r="J118" s="0" t="str">
        <f aca="false">"23-34"</f>
        <v>23-34</v>
      </c>
      <c r="K118" s="0" t="str">
        <f aca="false">"1.19"</f>
        <v>1.19</v>
      </c>
      <c r="L118" s="0" t="str">
        <f aca="false">"8.64"</f>
        <v>8.64</v>
      </c>
      <c r="M118" s="0" t="str">
        <f aca="false">"132.4"</f>
        <v>132.4</v>
      </c>
    </row>
    <row r="119" customFormat="false" ht="12.8" hidden="false" customHeight="false" outlineLevel="0" collapsed="false">
      <c r="A119" s="0" t="s">
        <v>1055</v>
      </c>
      <c r="B119" s="0" t="s">
        <v>9</v>
      </c>
      <c r="C119" s="0" t="str">
        <f aca="false">"618-629"</f>
        <v>618-629</v>
      </c>
      <c r="D119" s="0" t="s">
        <v>9</v>
      </c>
      <c r="E119" s="0" t="str">
        <f aca="false">"673-684"</f>
        <v>673-684</v>
      </c>
      <c r="F119" s="0" t="s">
        <v>1173</v>
      </c>
      <c r="G119" s="0" t="s">
        <v>13</v>
      </c>
      <c r="H119" s="0" t="str">
        <f aca="false">"346-357"</f>
        <v>346-357</v>
      </c>
      <c r="I119" s="0" t="s">
        <v>13</v>
      </c>
      <c r="J119" s="0" t="str">
        <f aca="false">"423-434"</f>
        <v>423-434</v>
      </c>
      <c r="K119" s="0" t="str">
        <f aca="false">"1.19"</f>
        <v>1.19</v>
      </c>
      <c r="L119" s="0" t="str">
        <f aca="false">"8.45"</f>
        <v>8.45</v>
      </c>
      <c r="M119" s="0" t="str">
        <f aca="false">"129.6"</f>
        <v>129.6</v>
      </c>
    </row>
    <row r="120" customFormat="false" ht="12.8" hidden="false" customHeight="false" outlineLevel="0" collapsed="false">
      <c r="A120" s="0" t="s">
        <v>1055</v>
      </c>
      <c r="B120" s="0" t="s">
        <v>9</v>
      </c>
      <c r="C120" s="0" t="str">
        <f aca="false">"618-629"</f>
        <v>618-629</v>
      </c>
      <c r="D120" s="0" t="s">
        <v>9</v>
      </c>
      <c r="E120" s="0" t="str">
        <f aca="false">"673-684"</f>
        <v>673-684</v>
      </c>
      <c r="F120" s="0" t="s">
        <v>1174</v>
      </c>
      <c r="G120" s="0" t="s">
        <v>9</v>
      </c>
      <c r="H120" s="0" t="str">
        <f aca="false">"578-589"</f>
        <v>578-589</v>
      </c>
      <c r="I120" s="0" t="s">
        <v>9</v>
      </c>
      <c r="J120" s="0" t="str">
        <f aca="false">"547-558"</f>
        <v>547-558</v>
      </c>
      <c r="K120" s="0" t="str">
        <f aca="false">"0.75"</f>
        <v>0.75</v>
      </c>
      <c r="L120" s="0" t="str">
        <f aca="false">"9.49"</f>
        <v>9.49</v>
      </c>
      <c r="M120" s="0" t="str">
        <f aca="false">"150.4"</f>
        <v>150.4</v>
      </c>
    </row>
    <row r="121" customFormat="false" ht="12.8" hidden="false" customHeight="false" outlineLevel="0" collapsed="false">
      <c r="A121" s="0" t="s">
        <v>1055</v>
      </c>
      <c r="B121" s="0" t="s">
        <v>9</v>
      </c>
      <c r="C121" s="0" t="str">
        <f aca="false">"618-629"</f>
        <v>618-629</v>
      </c>
      <c r="D121" s="0" t="s">
        <v>9</v>
      </c>
      <c r="E121" s="0" t="str">
        <f aca="false">"673-684"</f>
        <v>673-684</v>
      </c>
      <c r="F121" s="0" t="s">
        <v>1175</v>
      </c>
      <c r="G121" s="0" t="s">
        <v>9</v>
      </c>
      <c r="H121" s="0" t="str">
        <f aca="false">"129-140"</f>
        <v>129-140</v>
      </c>
      <c r="I121" s="0" t="s">
        <v>9</v>
      </c>
      <c r="J121" s="0" t="str">
        <f aca="false">"73-84"</f>
        <v>73-84</v>
      </c>
      <c r="K121" s="0" t="str">
        <f aca="false">"0.95"</f>
        <v>0.95</v>
      </c>
      <c r="L121" s="0" t="str">
        <f aca="false">"9.95"</f>
        <v>9.95</v>
      </c>
      <c r="M121" s="0" t="str">
        <f aca="false">"147.6"</f>
        <v>147.6</v>
      </c>
    </row>
    <row r="122" customFormat="false" ht="12.8" hidden="false" customHeight="false" outlineLevel="0" collapsed="false">
      <c r="A122" s="0" t="s">
        <v>1055</v>
      </c>
      <c r="B122" s="0" t="s">
        <v>9</v>
      </c>
      <c r="C122" s="0" t="str">
        <f aca="false">"615-626"</f>
        <v>615-626</v>
      </c>
      <c r="D122" s="0" t="s">
        <v>9</v>
      </c>
      <c r="E122" s="0" t="str">
        <f aca="false">"674-685"</f>
        <v>674-685</v>
      </c>
      <c r="F122" s="0" t="s">
        <v>1176</v>
      </c>
      <c r="G122" s="0" t="s">
        <v>24</v>
      </c>
      <c r="H122" s="0" t="str">
        <f aca="false">"129-140"</f>
        <v>129-140</v>
      </c>
      <c r="I122" s="0" t="s">
        <v>24</v>
      </c>
      <c r="J122" s="0" t="str">
        <f aca="false">"228-239"</f>
        <v>228-239</v>
      </c>
      <c r="K122" s="0" t="str">
        <f aca="false">"1.18"</f>
        <v>1.18</v>
      </c>
      <c r="L122" s="0" t="str">
        <f aca="false">"8.99"</f>
        <v>8.99</v>
      </c>
      <c r="M122" s="0" t="str">
        <f aca="false">"133.8"</f>
        <v>133.8</v>
      </c>
    </row>
    <row r="123" customFormat="false" ht="12.8" hidden="false" customHeight="false" outlineLevel="0" collapsed="false">
      <c r="A123" s="0" t="s">
        <v>1055</v>
      </c>
      <c r="B123" s="0" t="s">
        <v>9</v>
      </c>
      <c r="C123" s="0" t="str">
        <f aca="false">"615-626"</f>
        <v>615-626</v>
      </c>
      <c r="D123" s="0" t="s">
        <v>9</v>
      </c>
      <c r="E123" s="0" t="str">
        <f aca="false">"676-687"</f>
        <v>676-687</v>
      </c>
      <c r="F123" s="0" t="s">
        <v>1177</v>
      </c>
      <c r="G123" s="0" t="s">
        <v>13</v>
      </c>
      <c r="H123" s="0" t="str">
        <f aca="false">"132-143"</f>
        <v>132-143</v>
      </c>
      <c r="I123" s="0" t="s">
        <v>13</v>
      </c>
      <c r="J123" s="0" t="str">
        <f aca="false">"152-163"</f>
        <v>152-163</v>
      </c>
      <c r="K123" s="0" t="str">
        <f aca="false">"0.67"</f>
        <v>0.67</v>
      </c>
      <c r="L123" s="0" t="str">
        <f aca="false">"10.38"</f>
        <v>10.38</v>
      </c>
      <c r="M123" s="0" t="str">
        <f aca="false">"137.0"</f>
        <v>137.0</v>
      </c>
    </row>
    <row r="124" customFormat="false" ht="12.8" hidden="false" customHeight="false" outlineLevel="0" collapsed="false">
      <c r="A124" s="0" t="s">
        <v>1055</v>
      </c>
      <c r="B124" s="0" t="s">
        <v>9</v>
      </c>
      <c r="C124" s="0" t="str">
        <f aca="false">"618-629"</f>
        <v>618-629</v>
      </c>
      <c r="D124" s="0" t="s">
        <v>9</v>
      </c>
      <c r="E124" s="0" t="str">
        <f aca="false">"676-687"</f>
        <v>676-687</v>
      </c>
      <c r="F124" s="0" t="s">
        <v>1178</v>
      </c>
      <c r="G124" s="0" t="s">
        <v>9</v>
      </c>
      <c r="H124" s="0" t="str">
        <f aca="false">"111-122"</f>
        <v>111-122</v>
      </c>
      <c r="I124" s="0" t="s">
        <v>9</v>
      </c>
      <c r="J124" s="0" t="str">
        <f aca="false">"27-38"</f>
        <v>27-38</v>
      </c>
      <c r="K124" s="0" t="str">
        <f aca="false">"1.18"</f>
        <v>1.18</v>
      </c>
      <c r="L124" s="0" t="str">
        <f aca="false">"9.64"</f>
        <v>9.64</v>
      </c>
      <c r="M124" s="0" t="str">
        <f aca="false">"133.3"</f>
        <v>133.3</v>
      </c>
    </row>
    <row r="125" customFormat="false" ht="12.8" hidden="false" customHeight="false" outlineLevel="0" collapsed="false">
      <c r="A125" s="0" t="s">
        <v>1055</v>
      </c>
      <c r="B125" s="0" t="s">
        <v>9</v>
      </c>
      <c r="C125" s="0" t="str">
        <f aca="false">"614-625"</f>
        <v>614-625</v>
      </c>
      <c r="D125" s="0" t="s">
        <v>9</v>
      </c>
      <c r="E125" s="0" t="str">
        <f aca="false">"675-686"</f>
        <v>675-686</v>
      </c>
      <c r="F125" s="0" t="s">
        <v>1179</v>
      </c>
      <c r="G125" s="0" t="s">
        <v>9</v>
      </c>
      <c r="H125" s="0" t="str">
        <f aca="false">"94-105"</f>
        <v>94-105</v>
      </c>
      <c r="I125" s="0" t="s">
        <v>9</v>
      </c>
      <c r="J125" s="0" t="str">
        <f aca="false">"193-204"</f>
        <v>193-204</v>
      </c>
      <c r="K125" s="0" t="str">
        <f aca="false">"0.91"</f>
        <v>0.91</v>
      </c>
      <c r="L125" s="0" t="str">
        <f aca="false">"10.11"</f>
        <v>10.11</v>
      </c>
      <c r="M125" s="0" t="str">
        <f aca="false">"133.7"</f>
        <v>133.7</v>
      </c>
    </row>
    <row r="126" customFormat="false" ht="12.8" hidden="false" customHeight="false" outlineLevel="0" collapsed="false">
      <c r="A126" s="0" t="s">
        <v>1055</v>
      </c>
      <c r="B126" s="0" t="s">
        <v>9</v>
      </c>
      <c r="C126" s="0" t="str">
        <f aca="false">"618-629"</f>
        <v>618-629</v>
      </c>
      <c r="D126" s="0" t="s">
        <v>9</v>
      </c>
      <c r="E126" s="0" t="str">
        <f aca="false">"673-684"</f>
        <v>673-684</v>
      </c>
      <c r="F126" s="0" t="s">
        <v>1180</v>
      </c>
      <c r="G126" s="0" t="s">
        <v>9</v>
      </c>
      <c r="H126" s="0" t="str">
        <f aca="false">"87-98"</f>
        <v>87-98</v>
      </c>
      <c r="I126" s="0" t="s">
        <v>9</v>
      </c>
      <c r="J126" s="0" t="str">
        <f aca="false">"21-32"</f>
        <v>21-32</v>
      </c>
      <c r="K126" s="0" t="str">
        <f aca="false">"1.16"</f>
        <v>1.16</v>
      </c>
      <c r="L126" s="0" t="str">
        <f aca="false">"8.94"</f>
        <v>8.94</v>
      </c>
      <c r="M126" s="0" t="str">
        <f aca="false">"128.0"</f>
        <v>128.0</v>
      </c>
    </row>
    <row r="127" customFormat="false" ht="12.8" hidden="false" customHeight="false" outlineLevel="0" collapsed="false">
      <c r="A127" s="0" t="s">
        <v>1055</v>
      </c>
      <c r="B127" s="0" t="s">
        <v>9</v>
      </c>
      <c r="C127" s="0" t="str">
        <f aca="false">"621-632"</f>
        <v>621-632</v>
      </c>
      <c r="D127" s="0" t="s">
        <v>9</v>
      </c>
      <c r="E127" s="0" t="str">
        <f aca="false">"672-683"</f>
        <v>672-683</v>
      </c>
      <c r="F127" s="0" t="s">
        <v>1181</v>
      </c>
      <c r="G127" s="0" t="s">
        <v>9</v>
      </c>
      <c r="H127" s="0" t="str">
        <f aca="false">"106-117"</f>
        <v>106-117</v>
      </c>
      <c r="I127" s="0" t="s">
        <v>9</v>
      </c>
      <c r="J127" s="0" t="str">
        <f aca="false">"25-36"</f>
        <v>25-36</v>
      </c>
      <c r="K127" s="0" t="str">
        <f aca="false">"1.07"</f>
        <v>1.07</v>
      </c>
      <c r="L127" s="0" t="str">
        <f aca="false">"8.27"</f>
        <v>8.27</v>
      </c>
      <c r="M127" s="0" t="str">
        <f aca="false">"128.4"</f>
        <v>128.4</v>
      </c>
    </row>
    <row r="128" customFormat="false" ht="12.8" hidden="false" customHeight="false" outlineLevel="0" collapsed="false">
      <c r="A128" s="0" t="s">
        <v>1055</v>
      </c>
      <c r="B128" s="0" t="s">
        <v>9</v>
      </c>
      <c r="C128" s="0" t="str">
        <f aca="false">"618-629"</f>
        <v>618-629</v>
      </c>
      <c r="D128" s="0" t="s">
        <v>9</v>
      </c>
      <c r="E128" s="0" t="str">
        <f aca="false">"673-684"</f>
        <v>673-684</v>
      </c>
      <c r="F128" s="0" t="s">
        <v>1182</v>
      </c>
      <c r="G128" s="0" t="s">
        <v>9</v>
      </c>
      <c r="H128" s="0" t="str">
        <f aca="false">"63-74"</f>
        <v>63-74</v>
      </c>
      <c r="I128" s="0" t="s">
        <v>9</v>
      </c>
      <c r="J128" s="0" t="str">
        <f aca="false">"30-41"</f>
        <v>30-41</v>
      </c>
      <c r="K128" s="0" t="str">
        <f aca="false">"1.01"</f>
        <v>1.01</v>
      </c>
      <c r="L128" s="0" t="str">
        <f aca="false">"8.68"</f>
        <v>8.68</v>
      </c>
      <c r="M128" s="0" t="str">
        <f aca="false">"138.2"</f>
        <v>138.2</v>
      </c>
    </row>
    <row r="129" customFormat="false" ht="12.8" hidden="false" customHeight="false" outlineLevel="0" collapsed="false">
      <c r="A129" s="0" t="s">
        <v>1055</v>
      </c>
      <c r="B129" s="0" t="s">
        <v>9</v>
      </c>
      <c r="C129" s="0" t="str">
        <f aca="false">"615-626"</f>
        <v>615-626</v>
      </c>
      <c r="D129" s="0" t="s">
        <v>9</v>
      </c>
      <c r="E129" s="0" t="str">
        <f aca="false">"676-687"</f>
        <v>676-687</v>
      </c>
      <c r="F129" s="0" t="s">
        <v>1183</v>
      </c>
      <c r="G129" s="0" t="s">
        <v>9</v>
      </c>
      <c r="H129" s="0" t="str">
        <f aca="false">"49-60"</f>
        <v>49-60</v>
      </c>
      <c r="I129" s="0" t="s">
        <v>9</v>
      </c>
      <c r="J129" s="0" t="str">
        <f aca="false">"12-23"</f>
        <v>12-23</v>
      </c>
      <c r="K129" s="0" t="str">
        <f aca="false">"1.05"</f>
        <v>1.05</v>
      </c>
      <c r="L129" s="0" t="str">
        <f aca="false">"9.92"</f>
        <v>9.92</v>
      </c>
      <c r="M129" s="0" t="str">
        <f aca="false">"144.5"</f>
        <v>144.5</v>
      </c>
    </row>
    <row r="130" customFormat="false" ht="12.8" hidden="false" customHeight="false" outlineLevel="0" collapsed="false">
      <c r="A130" s="0" t="s">
        <v>1055</v>
      </c>
      <c r="B130" s="0" t="s">
        <v>9</v>
      </c>
      <c r="C130" s="0" t="str">
        <f aca="false">"618-629"</f>
        <v>618-629</v>
      </c>
      <c r="D130" s="0" t="s">
        <v>9</v>
      </c>
      <c r="E130" s="0" t="str">
        <f aca="false">"673-684"</f>
        <v>673-684</v>
      </c>
      <c r="F130" s="0" t="s">
        <v>1184</v>
      </c>
      <c r="G130" s="0" t="s">
        <v>9</v>
      </c>
      <c r="H130" s="0" t="str">
        <f aca="false">"90-101"</f>
        <v>90-101</v>
      </c>
      <c r="I130" s="0" t="s">
        <v>9</v>
      </c>
      <c r="J130" s="0" t="str">
        <f aca="false">"111-122"</f>
        <v>111-122</v>
      </c>
      <c r="K130" s="0" t="str">
        <f aca="false">"0.75"</f>
        <v>0.75</v>
      </c>
      <c r="L130" s="0" t="str">
        <f aca="false">"8.95"</f>
        <v>8.95</v>
      </c>
      <c r="M130" s="0" t="str">
        <f aca="false">"131.9"</f>
        <v>131.9</v>
      </c>
    </row>
    <row r="131" customFormat="false" ht="12.8" hidden="false" customHeight="false" outlineLevel="0" collapsed="false">
      <c r="A131" s="0" t="s">
        <v>1055</v>
      </c>
      <c r="B131" s="0" t="s">
        <v>9</v>
      </c>
      <c r="C131" s="0" t="str">
        <f aca="false">"618-629"</f>
        <v>618-629</v>
      </c>
      <c r="D131" s="0" t="s">
        <v>9</v>
      </c>
      <c r="E131" s="0" t="str">
        <f aca="false">"673-684"</f>
        <v>673-684</v>
      </c>
      <c r="F131" s="0" t="s">
        <v>1185</v>
      </c>
      <c r="G131" s="0" t="s">
        <v>9</v>
      </c>
      <c r="H131" s="0" t="str">
        <f aca="false">"565-576"</f>
        <v>565-576</v>
      </c>
      <c r="I131" s="0" t="s">
        <v>9</v>
      </c>
      <c r="J131" s="0" t="str">
        <f aca="false">"325-336"</f>
        <v>325-336</v>
      </c>
      <c r="K131" s="0" t="str">
        <f aca="false">"0.58"</f>
        <v>0.58</v>
      </c>
      <c r="L131" s="0" t="str">
        <f aca="false">"9.65"</f>
        <v>9.65</v>
      </c>
      <c r="M131" s="0" t="str">
        <f aca="false">"134.4"</f>
        <v>134.4</v>
      </c>
    </row>
    <row r="132" customFormat="false" ht="12.8" hidden="false" customHeight="false" outlineLevel="0" collapsed="false">
      <c r="A132" s="0" t="s">
        <v>1055</v>
      </c>
      <c r="B132" s="0" t="s">
        <v>9</v>
      </c>
      <c r="C132" s="0" t="str">
        <f aca="false">"618-629"</f>
        <v>618-629</v>
      </c>
      <c r="D132" s="0" t="s">
        <v>9</v>
      </c>
      <c r="E132" s="0" t="str">
        <f aca="false">"673-684"</f>
        <v>673-684</v>
      </c>
      <c r="F132" s="0" t="s">
        <v>1186</v>
      </c>
      <c r="G132" s="0" t="s">
        <v>9</v>
      </c>
      <c r="H132" s="0" t="str">
        <f aca="false">"20-31"</f>
        <v>20-31</v>
      </c>
      <c r="I132" s="0" t="s">
        <v>9</v>
      </c>
      <c r="J132" s="0" t="str">
        <f aca="false">"67-78"</f>
        <v>67-78</v>
      </c>
      <c r="K132" s="0" t="str">
        <f aca="false">"1.11"</f>
        <v>1.11</v>
      </c>
      <c r="L132" s="0" t="str">
        <f aca="false">"9.07"</f>
        <v>9.07</v>
      </c>
      <c r="M132" s="0" t="str">
        <f aca="false">"130.9"</f>
        <v>130.9</v>
      </c>
    </row>
    <row r="133" customFormat="false" ht="12.8" hidden="false" customHeight="false" outlineLevel="0" collapsed="false">
      <c r="A133" s="0" t="s">
        <v>1055</v>
      </c>
      <c r="B133" s="0" t="s">
        <v>9</v>
      </c>
      <c r="C133" s="0" t="str">
        <f aca="false">"618-629"</f>
        <v>618-629</v>
      </c>
      <c r="D133" s="0" t="s">
        <v>9</v>
      </c>
      <c r="E133" s="0" t="str">
        <f aca="false">"673-684"</f>
        <v>673-684</v>
      </c>
      <c r="F133" s="0" t="s">
        <v>1187</v>
      </c>
      <c r="G133" s="0" t="s">
        <v>9</v>
      </c>
      <c r="H133" s="0" t="str">
        <f aca="false">"132-143"</f>
        <v>132-143</v>
      </c>
      <c r="I133" s="0" t="s">
        <v>9</v>
      </c>
      <c r="J133" s="0" t="str">
        <f aca="false">"92-103"</f>
        <v>92-103</v>
      </c>
      <c r="K133" s="0" t="str">
        <f aca="false">"1.16"</f>
        <v>1.16</v>
      </c>
      <c r="L133" s="0" t="str">
        <f aca="false">"8.95"</f>
        <v>8.95</v>
      </c>
      <c r="M133" s="0" t="str">
        <f aca="false">"146.0"</f>
        <v>146.0</v>
      </c>
    </row>
    <row r="134" customFormat="false" ht="12.8" hidden="false" customHeight="false" outlineLevel="0" collapsed="false">
      <c r="A134" s="0" t="s">
        <v>1055</v>
      </c>
      <c r="B134" s="0" t="s">
        <v>9</v>
      </c>
      <c r="C134" s="0" t="str">
        <f aca="false">"618-629"</f>
        <v>618-629</v>
      </c>
      <c r="D134" s="0" t="s">
        <v>9</v>
      </c>
      <c r="E134" s="0" t="str">
        <f aca="false">"673-684"</f>
        <v>673-684</v>
      </c>
      <c r="F134" s="0" t="s">
        <v>1188</v>
      </c>
      <c r="G134" s="0" t="s">
        <v>9</v>
      </c>
      <c r="H134" s="0" t="str">
        <f aca="false">"370-381"</f>
        <v>370-381</v>
      </c>
      <c r="I134" s="0" t="s">
        <v>9</v>
      </c>
      <c r="J134" s="0" t="str">
        <f aca="false">"402-413"</f>
        <v>402-413</v>
      </c>
      <c r="K134" s="0" t="str">
        <f aca="false">"1.19"</f>
        <v>1.19</v>
      </c>
      <c r="L134" s="0" t="str">
        <f aca="false">"9.31"</f>
        <v>9.31</v>
      </c>
      <c r="M134" s="0" t="str">
        <f aca="false">"142.3"</f>
        <v>142.3</v>
      </c>
    </row>
    <row r="135" customFormat="false" ht="12.8" hidden="false" customHeight="false" outlineLevel="0" collapsed="false">
      <c r="A135" s="0" t="s">
        <v>1055</v>
      </c>
      <c r="B135" s="0" t="s">
        <v>9</v>
      </c>
      <c r="C135" s="0" t="str">
        <f aca="false">"621-632"</f>
        <v>621-632</v>
      </c>
      <c r="D135" s="0" t="s">
        <v>9</v>
      </c>
      <c r="E135" s="0" t="str">
        <f aca="false">"672-683"</f>
        <v>672-683</v>
      </c>
      <c r="F135" s="0" t="s">
        <v>1189</v>
      </c>
      <c r="G135" s="0" t="s">
        <v>120</v>
      </c>
      <c r="H135" s="0" t="str">
        <f aca="false">"51-62"</f>
        <v>51-62</v>
      </c>
      <c r="I135" s="0" t="s">
        <v>120</v>
      </c>
      <c r="J135" s="0" t="str">
        <f aca="false">"126-137"</f>
        <v>126-137</v>
      </c>
      <c r="K135" s="0" t="str">
        <f aca="false">"1.20"</f>
        <v>1.20</v>
      </c>
      <c r="L135" s="0" t="str">
        <f aca="false">"8.27"</f>
        <v>8.27</v>
      </c>
      <c r="M135" s="0" t="str">
        <f aca="false">"137.4"</f>
        <v>137.4</v>
      </c>
    </row>
    <row r="136" customFormat="false" ht="12.8" hidden="false" customHeight="false" outlineLevel="0" collapsed="false">
      <c r="A136" s="0" t="s">
        <v>1055</v>
      </c>
      <c r="B136" s="0" t="s">
        <v>9</v>
      </c>
      <c r="C136" s="0" t="str">
        <f aca="false">"621-632"</f>
        <v>621-632</v>
      </c>
      <c r="D136" s="0" t="s">
        <v>9</v>
      </c>
      <c r="E136" s="0" t="str">
        <f aca="false">"672-683"</f>
        <v>672-683</v>
      </c>
      <c r="F136" s="0" t="s">
        <v>1190</v>
      </c>
      <c r="G136" s="0" t="s">
        <v>9</v>
      </c>
      <c r="H136" s="0" t="str">
        <f aca="false">"86-97"</f>
        <v>86-97</v>
      </c>
      <c r="I136" s="0" t="s">
        <v>9</v>
      </c>
      <c r="J136" s="0" t="str">
        <f aca="false">"25-36"</f>
        <v>25-36</v>
      </c>
      <c r="K136" s="0" t="str">
        <f aca="false">"1.12"</f>
        <v>1.12</v>
      </c>
      <c r="L136" s="0" t="str">
        <f aca="false">"8.36"</f>
        <v>8.36</v>
      </c>
      <c r="M136" s="0" t="str">
        <f aca="false">"139.9"</f>
        <v>139.9</v>
      </c>
    </row>
    <row r="137" customFormat="false" ht="12.8" hidden="false" customHeight="false" outlineLevel="0" collapsed="false">
      <c r="A137" s="0" t="s">
        <v>1055</v>
      </c>
      <c r="B137" s="0" t="s">
        <v>9</v>
      </c>
      <c r="C137" s="0" t="str">
        <f aca="false">"621-632"</f>
        <v>621-632</v>
      </c>
      <c r="D137" s="0" t="s">
        <v>9</v>
      </c>
      <c r="E137" s="0" t="str">
        <f aca="false">"672-683"</f>
        <v>672-683</v>
      </c>
      <c r="F137" s="0" t="s">
        <v>1191</v>
      </c>
      <c r="G137" s="0" t="s">
        <v>9</v>
      </c>
      <c r="H137" s="0" t="str">
        <f aca="false">"183-194"</f>
        <v>183-194</v>
      </c>
      <c r="I137" s="0" t="s">
        <v>9</v>
      </c>
      <c r="J137" s="0" t="str">
        <f aca="false">"224-235"</f>
        <v>224-235</v>
      </c>
      <c r="K137" s="0" t="str">
        <f aca="false">"1.00"</f>
        <v>1.00</v>
      </c>
      <c r="L137" s="0" t="str">
        <f aca="false">"9.63"</f>
        <v>9.63</v>
      </c>
      <c r="M137" s="0" t="str">
        <f aca="false">"148.4"</f>
        <v>148.4</v>
      </c>
    </row>
    <row r="138" customFormat="false" ht="12.8" hidden="false" customHeight="false" outlineLevel="0" collapsed="false">
      <c r="A138" s="0" t="s">
        <v>1055</v>
      </c>
      <c r="B138" s="0" t="s">
        <v>9</v>
      </c>
      <c r="C138" s="0" t="str">
        <f aca="false">"618-629"</f>
        <v>618-629</v>
      </c>
      <c r="D138" s="0" t="s">
        <v>9</v>
      </c>
      <c r="E138" s="0" t="str">
        <f aca="false">"675-686"</f>
        <v>675-686</v>
      </c>
      <c r="F138" s="0" t="s">
        <v>1192</v>
      </c>
      <c r="G138" s="0" t="s">
        <v>9</v>
      </c>
      <c r="H138" s="0" t="str">
        <f aca="false">"589-600"</f>
        <v>589-600</v>
      </c>
      <c r="I138" s="0" t="s">
        <v>9</v>
      </c>
      <c r="J138" s="0" t="str">
        <f aca="false">"561-572"</f>
        <v>561-572</v>
      </c>
      <c r="K138" s="0" t="str">
        <f aca="false">"1.18"</f>
        <v>1.18</v>
      </c>
      <c r="L138" s="0" t="str">
        <f aca="false">"9.60"</f>
        <v>9.60</v>
      </c>
      <c r="M138" s="0" t="str">
        <f aca="false">"151.7"</f>
        <v>151.7</v>
      </c>
    </row>
    <row r="139" customFormat="false" ht="12.8" hidden="false" customHeight="false" outlineLevel="0" collapsed="false">
      <c r="A139" s="0" t="s">
        <v>1055</v>
      </c>
      <c r="B139" s="0" t="s">
        <v>9</v>
      </c>
      <c r="C139" s="0" t="str">
        <f aca="false">"618-629"</f>
        <v>618-629</v>
      </c>
      <c r="D139" s="0" t="s">
        <v>9</v>
      </c>
      <c r="E139" s="0" t="str">
        <f aca="false">"673-684"</f>
        <v>673-684</v>
      </c>
      <c r="F139" s="0" t="s">
        <v>1193</v>
      </c>
      <c r="G139" s="0" t="s">
        <v>13</v>
      </c>
      <c r="H139" s="0" t="str">
        <f aca="false">"506-517"</f>
        <v>506-517</v>
      </c>
      <c r="I139" s="0" t="s">
        <v>13</v>
      </c>
      <c r="J139" s="0" t="str">
        <f aca="false">"682-693"</f>
        <v>682-693</v>
      </c>
      <c r="K139" s="0" t="str">
        <f aca="false">"1.05"</f>
        <v>1.05</v>
      </c>
      <c r="L139" s="0" t="str">
        <f aca="false">"9.70"</f>
        <v>9.70</v>
      </c>
      <c r="M139" s="0" t="str">
        <f aca="false">"125.2"</f>
        <v>125.2</v>
      </c>
    </row>
    <row r="140" customFormat="false" ht="12.8" hidden="false" customHeight="false" outlineLevel="0" collapsed="false">
      <c r="A140" s="0" t="s">
        <v>1055</v>
      </c>
      <c r="B140" s="0" t="s">
        <v>9</v>
      </c>
      <c r="C140" s="0" t="str">
        <f aca="false">"618-629"</f>
        <v>618-629</v>
      </c>
      <c r="D140" s="0" t="s">
        <v>9</v>
      </c>
      <c r="E140" s="0" t="str">
        <f aca="false">"673-684"</f>
        <v>673-684</v>
      </c>
      <c r="F140" s="0" t="s">
        <v>1194</v>
      </c>
      <c r="G140" s="0" t="s">
        <v>13</v>
      </c>
      <c r="H140" s="0" t="str">
        <f aca="false">"77-88"</f>
        <v>77-88</v>
      </c>
      <c r="I140" s="0" t="s">
        <v>13</v>
      </c>
      <c r="J140" s="0" t="str">
        <f aca="false">"52-63"</f>
        <v>52-63</v>
      </c>
      <c r="K140" s="0" t="str">
        <f aca="false">"0.77"</f>
        <v>0.77</v>
      </c>
      <c r="L140" s="0" t="str">
        <f aca="false">"9.41"</f>
        <v>9.41</v>
      </c>
      <c r="M140" s="0" t="str">
        <f aca="false">"126.6"</f>
        <v>126.6</v>
      </c>
    </row>
    <row r="141" customFormat="false" ht="12.8" hidden="false" customHeight="false" outlineLevel="0" collapsed="false">
      <c r="A141" s="0" t="s">
        <v>1055</v>
      </c>
      <c r="B141" s="0" t="s">
        <v>9</v>
      </c>
      <c r="C141" s="0" t="str">
        <f aca="false">"618-629"</f>
        <v>618-629</v>
      </c>
      <c r="D141" s="0" t="s">
        <v>9</v>
      </c>
      <c r="E141" s="0" t="str">
        <f aca="false">"673-684"</f>
        <v>673-684</v>
      </c>
      <c r="F141" s="0" t="s">
        <v>1195</v>
      </c>
      <c r="G141" s="0" t="s">
        <v>9</v>
      </c>
      <c r="H141" s="0" t="str">
        <f aca="false">"703-714"</f>
        <v>703-714</v>
      </c>
      <c r="I141" s="0" t="s">
        <v>9</v>
      </c>
      <c r="J141" s="0" t="str">
        <f aca="false">"674-685"</f>
        <v>674-685</v>
      </c>
      <c r="K141" s="0" t="str">
        <f aca="false">"0.69"</f>
        <v>0.69</v>
      </c>
      <c r="L141" s="0" t="str">
        <f aca="false">"9.40"</f>
        <v>9.40</v>
      </c>
      <c r="M141" s="0" t="str">
        <f aca="false">"132.4"</f>
        <v>132.4</v>
      </c>
    </row>
    <row r="142" customFormat="false" ht="12.8" hidden="false" customHeight="false" outlineLevel="0" collapsed="false">
      <c r="A142" s="0" t="s">
        <v>1055</v>
      </c>
      <c r="B142" s="0" t="s">
        <v>9</v>
      </c>
      <c r="C142" s="0" t="str">
        <f aca="false">"617-628"</f>
        <v>617-628</v>
      </c>
      <c r="D142" s="0" t="s">
        <v>9</v>
      </c>
      <c r="E142" s="0" t="str">
        <f aca="false">"676-687"</f>
        <v>676-687</v>
      </c>
      <c r="F142" s="0" t="s">
        <v>1196</v>
      </c>
      <c r="G142" s="0" t="s">
        <v>13</v>
      </c>
      <c r="H142" s="0" t="str">
        <f aca="false">"51-62"</f>
        <v>51-62</v>
      </c>
      <c r="I142" s="0" t="s">
        <v>13</v>
      </c>
      <c r="J142" s="0" t="str">
        <f aca="false">"242-253"</f>
        <v>242-253</v>
      </c>
      <c r="K142" s="0" t="str">
        <f aca="false">"1.05"</f>
        <v>1.05</v>
      </c>
      <c r="L142" s="0" t="str">
        <f aca="false">"8.50"</f>
        <v>8.50</v>
      </c>
      <c r="M142" s="0" t="str">
        <f aca="false">"129.4"</f>
        <v>129.4</v>
      </c>
    </row>
    <row r="143" customFormat="false" ht="12.8" hidden="false" customHeight="false" outlineLevel="0" collapsed="false">
      <c r="A143" s="0" t="s">
        <v>1055</v>
      </c>
      <c r="B143" s="0" t="s">
        <v>9</v>
      </c>
      <c r="C143" s="0" t="str">
        <f aca="false">"618-629"</f>
        <v>618-629</v>
      </c>
      <c r="D143" s="0" t="s">
        <v>9</v>
      </c>
      <c r="E143" s="0" t="str">
        <f aca="false">"673-684"</f>
        <v>673-684</v>
      </c>
      <c r="F143" s="0" t="s">
        <v>1197</v>
      </c>
      <c r="G143" s="0" t="s">
        <v>9</v>
      </c>
      <c r="H143" s="0" t="str">
        <f aca="false">"70-81"</f>
        <v>70-81</v>
      </c>
      <c r="I143" s="0" t="s">
        <v>9</v>
      </c>
      <c r="J143" s="0" t="str">
        <f aca="false">"310-321"</f>
        <v>310-321</v>
      </c>
      <c r="K143" s="0" t="str">
        <f aca="false">"0.67"</f>
        <v>0.67</v>
      </c>
      <c r="L143" s="0" t="str">
        <f aca="false">"9.28"</f>
        <v>9.28</v>
      </c>
      <c r="M143" s="0" t="str">
        <f aca="false">"124.7"</f>
        <v>124.7</v>
      </c>
    </row>
    <row r="144" customFormat="false" ht="12.8" hidden="false" customHeight="false" outlineLevel="0" collapsed="false">
      <c r="A144" s="0" t="s">
        <v>1055</v>
      </c>
      <c r="B144" s="0" t="s">
        <v>9</v>
      </c>
      <c r="C144" s="0" t="str">
        <f aca="false">"618-629"</f>
        <v>618-629</v>
      </c>
      <c r="D144" s="0" t="s">
        <v>9</v>
      </c>
      <c r="E144" s="0" t="str">
        <f aca="false">"674-685"</f>
        <v>674-685</v>
      </c>
      <c r="F144" s="0" t="s">
        <v>1198</v>
      </c>
      <c r="G144" s="0" t="s">
        <v>9</v>
      </c>
      <c r="H144" s="0" t="str">
        <f aca="false">"352-363"</f>
        <v>352-363</v>
      </c>
      <c r="I144" s="0" t="s">
        <v>9</v>
      </c>
      <c r="J144" s="0" t="str">
        <f aca="false">"331-342"</f>
        <v>331-342</v>
      </c>
      <c r="K144" s="0" t="str">
        <f aca="false">"0.85"</f>
        <v>0.85</v>
      </c>
      <c r="L144" s="0" t="str">
        <f aca="false">"8.04"</f>
        <v>8.04</v>
      </c>
      <c r="M144" s="0" t="str">
        <f aca="false">"136.9"</f>
        <v>136.9</v>
      </c>
    </row>
    <row r="145" customFormat="false" ht="12.8" hidden="false" customHeight="false" outlineLevel="0" collapsed="false">
      <c r="A145" s="0" t="s">
        <v>1055</v>
      </c>
      <c r="B145" s="0" t="s">
        <v>9</v>
      </c>
      <c r="C145" s="0" t="str">
        <f aca="false">"618-629"</f>
        <v>618-629</v>
      </c>
      <c r="D145" s="0" t="s">
        <v>9</v>
      </c>
      <c r="E145" s="0" t="str">
        <f aca="false">"675-686"</f>
        <v>675-686</v>
      </c>
      <c r="F145" s="0" t="s">
        <v>1199</v>
      </c>
      <c r="G145" s="0" t="s">
        <v>9</v>
      </c>
      <c r="H145" s="0" t="str">
        <f aca="false">"132-143"</f>
        <v>132-143</v>
      </c>
      <c r="I145" s="0" t="s">
        <v>9</v>
      </c>
      <c r="J145" s="0" t="str">
        <f aca="false">"108-119"</f>
        <v>108-119</v>
      </c>
      <c r="K145" s="0" t="str">
        <f aca="false">"1.08"</f>
        <v>1.08</v>
      </c>
      <c r="L145" s="0" t="str">
        <f aca="false">"9.34"</f>
        <v>9.34</v>
      </c>
      <c r="M145" s="0" t="str">
        <f aca="false">"155.0"</f>
        <v>155.0</v>
      </c>
    </row>
    <row r="146" customFormat="false" ht="12.8" hidden="false" customHeight="false" outlineLevel="0" collapsed="false">
      <c r="A146" s="0" t="s">
        <v>1055</v>
      </c>
      <c r="B146" s="0" t="s">
        <v>9</v>
      </c>
      <c r="C146" s="0" t="str">
        <f aca="false">"620-631"</f>
        <v>620-631</v>
      </c>
      <c r="D146" s="0" t="s">
        <v>9</v>
      </c>
      <c r="E146" s="0" t="str">
        <f aca="false">"672-683"</f>
        <v>672-683</v>
      </c>
      <c r="F146" s="0" t="s">
        <v>1200</v>
      </c>
      <c r="G146" s="0" t="s">
        <v>70</v>
      </c>
      <c r="H146" s="0" t="str">
        <f aca="false">"81-92"</f>
        <v>81-92</v>
      </c>
      <c r="I146" s="0" t="s">
        <v>70</v>
      </c>
      <c r="J146" s="0" t="str">
        <f aca="false">"142-153"</f>
        <v>142-153</v>
      </c>
      <c r="K146" s="0" t="str">
        <f aca="false">"0.96"</f>
        <v>0.96</v>
      </c>
      <c r="L146" s="0" t="str">
        <f aca="false">"9.87"</f>
        <v>9.87</v>
      </c>
      <c r="M146" s="0" t="str">
        <f aca="false">"124.0"</f>
        <v>124.0</v>
      </c>
    </row>
    <row r="147" customFormat="false" ht="12.8" hidden="false" customHeight="false" outlineLevel="0" collapsed="false">
      <c r="A147" s="0" t="s">
        <v>1055</v>
      </c>
      <c r="B147" s="0" t="s">
        <v>9</v>
      </c>
      <c r="C147" s="0" t="str">
        <f aca="false">"614-625"</f>
        <v>614-625</v>
      </c>
      <c r="D147" s="0" t="s">
        <v>9</v>
      </c>
      <c r="E147" s="0" t="str">
        <f aca="false">"675-686"</f>
        <v>675-686</v>
      </c>
      <c r="F147" s="0" t="s">
        <v>1201</v>
      </c>
      <c r="G147" s="0" t="s">
        <v>120</v>
      </c>
      <c r="H147" s="0" t="str">
        <f aca="false">"170-181"</f>
        <v>170-181</v>
      </c>
      <c r="I147" s="0" t="s">
        <v>120</v>
      </c>
      <c r="J147" s="0" t="str">
        <f aca="false">"79-90"</f>
        <v>79-90</v>
      </c>
      <c r="K147" s="0" t="str">
        <f aca="false">"0.90"</f>
        <v>0.90</v>
      </c>
      <c r="L147" s="0" t="str">
        <f aca="false">"10.35"</f>
        <v>10.35</v>
      </c>
      <c r="M147" s="0" t="str">
        <f aca="false">"135.8"</f>
        <v>135.8</v>
      </c>
    </row>
    <row r="148" customFormat="false" ht="12.8" hidden="false" customHeight="false" outlineLevel="0" collapsed="false">
      <c r="A148" s="0" t="s">
        <v>1055</v>
      </c>
      <c r="B148" s="0" t="s">
        <v>9</v>
      </c>
      <c r="C148" s="0" t="str">
        <f aca="false">"615-626"</f>
        <v>615-626</v>
      </c>
      <c r="D148" s="0" t="s">
        <v>9</v>
      </c>
      <c r="E148" s="0" t="str">
        <f aca="false">"676-687"</f>
        <v>676-687</v>
      </c>
      <c r="F148" s="0" t="s">
        <v>1202</v>
      </c>
      <c r="G148" s="0" t="s">
        <v>9</v>
      </c>
      <c r="H148" s="0" t="str">
        <f aca="false">"71-82"</f>
        <v>71-82</v>
      </c>
      <c r="I148" s="0" t="s">
        <v>9</v>
      </c>
      <c r="J148" s="0" t="str">
        <f aca="false">"48-59"</f>
        <v>48-59</v>
      </c>
      <c r="K148" s="0" t="str">
        <f aca="false">"1.01"</f>
        <v>1.01</v>
      </c>
      <c r="L148" s="0" t="str">
        <f aca="false">"10.38"</f>
        <v>10.38</v>
      </c>
      <c r="M148" s="0" t="str">
        <f aca="false">"136.1"</f>
        <v>136.1</v>
      </c>
    </row>
    <row r="149" customFormat="false" ht="12.8" hidden="false" customHeight="false" outlineLevel="0" collapsed="false">
      <c r="A149" s="0" t="s">
        <v>1055</v>
      </c>
      <c r="B149" s="0" t="s">
        <v>9</v>
      </c>
      <c r="C149" s="0" t="str">
        <f aca="false">"617-628"</f>
        <v>617-628</v>
      </c>
      <c r="D149" s="0" t="s">
        <v>9</v>
      </c>
      <c r="E149" s="0" t="str">
        <f aca="false">"677-688"</f>
        <v>677-688</v>
      </c>
      <c r="F149" s="0" t="s">
        <v>1203</v>
      </c>
      <c r="G149" s="0" t="s">
        <v>13</v>
      </c>
      <c r="H149" s="0" t="str">
        <f aca="false">"46-57"</f>
        <v>46-57</v>
      </c>
      <c r="I149" s="0" t="s">
        <v>13</v>
      </c>
      <c r="J149" s="0" t="str">
        <f aca="false">"61-72"</f>
        <v>61-72</v>
      </c>
      <c r="K149" s="0" t="str">
        <f aca="false">"1.21"</f>
        <v>1.21</v>
      </c>
      <c r="L149" s="0" t="str">
        <f aca="false">"10.74"</f>
        <v>10.74</v>
      </c>
      <c r="M149" s="0" t="str">
        <f aca="false">"141.2"</f>
        <v>141.2</v>
      </c>
    </row>
    <row r="150" customFormat="false" ht="12.8" hidden="false" customHeight="false" outlineLevel="0" collapsed="false">
      <c r="A150" s="0" t="s">
        <v>1055</v>
      </c>
      <c r="B150" s="0" t="s">
        <v>9</v>
      </c>
      <c r="C150" s="0" t="str">
        <f aca="false">"621-632"</f>
        <v>621-632</v>
      </c>
      <c r="D150" s="0" t="s">
        <v>9</v>
      </c>
      <c r="E150" s="0" t="str">
        <f aca="false">"672-683"</f>
        <v>672-683</v>
      </c>
      <c r="F150" s="0" t="s">
        <v>1204</v>
      </c>
      <c r="G150" s="0" t="s">
        <v>9</v>
      </c>
      <c r="H150" s="0" t="str">
        <f aca="false">"100-111"</f>
        <v>100-111</v>
      </c>
      <c r="I150" s="0" t="s">
        <v>9</v>
      </c>
      <c r="J150" s="0" t="str">
        <f aca="false">"23-34"</f>
        <v>23-34</v>
      </c>
      <c r="K150" s="0" t="str">
        <f aca="false">"0.68"</f>
        <v>0.68</v>
      </c>
      <c r="L150" s="0" t="str">
        <f aca="false">"9.48"</f>
        <v>9.48</v>
      </c>
      <c r="M150" s="0" t="str">
        <f aca="false">"125.5"</f>
        <v>125.5</v>
      </c>
    </row>
    <row r="151" customFormat="false" ht="12.8" hidden="false" customHeight="false" outlineLevel="0" collapsed="false">
      <c r="A151" s="0" t="s">
        <v>1055</v>
      </c>
      <c r="B151" s="0" t="s">
        <v>9</v>
      </c>
      <c r="C151" s="0" t="str">
        <f aca="false">"621-632"</f>
        <v>621-632</v>
      </c>
      <c r="D151" s="0" t="s">
        <v>9</v>
      </c>
      <c r="E151" s="0" t="str">
        <f aca="false">"672-683"</f>
        <v>672-683</v>
      </c>
      <c r="F151" s="0" t="s">
        <v>1205</v>
      </c>
      <c r="G151" s="0" t="s">
        <v>9</v>
      </c>
      <c r="H151" s="0" t="str">
        <f aca="false">"85-96"</f>
        <v>85-96</v>
      </c>
      <c r="I151" s="0" t="s">
        <v>9</v>
      </c>
      <c r="J151" s="0" t="str">
        <f aca="false">"4-15"</f>
        <v>4-15</v>
      </c>
      <c r="K151" s="0" t="str">
        <f aca="false">"0.96"</f>
        <v>0.96</v>
      </c>
      <c r="L151" s="0" t="str">
        <f aca="false">"9.18"</f>
        <v>9.18</v>
      </c>
      <c r="M151" s="0" t="str">
        <f aca="false">"124.9"</f>
        <v>124.9</v>
      </c>
    </row>
    <row r="152" customFormat="false" ht="12.8" hidden="false" customHeight="false" outlineLevel="0" collapsed="false">
      <c r="A152" s="0" t="s">
        <v>1055</v>
      </c>
      <c r="B152" s="0" t="s">
        <v>9</v>
      </c>
      <c r="C152" s="0" t="str">
        <f aca="false">"618-629"</f>
        <v>618-629</v>
      </c>
      <c r="D152" s="0" t="s">
        <v>9</v>
      </c>
      <c r="E152" s="0" t="str">
        <f aca="false">"673-684"</f>
        <v>673-684</v>
      </c>
      <c r="F152" s="0" t="s">
        <v>1206</v>
      </c>
      <c r="G152" s="0" t="s">
        <v>13</v>
      </c>
      <c r="H152" s="0" t="str">
        <f aca="false">"100-111"</f>
        <v>100-111</v>
      </c>
      <c r="I152" s="0" t="s">
        <v>13</v>
      </c>
      <c r="J152" s="0" t="str">
        <f aca="false">"26-37"</f>
        <v>26-37</v>
      </c>
      <c r="K152" s="0" t="str">
        <f aca="false">"0.93"</f>
        <v>0.93</v>
      </c>
      <c r="L152" s="0" t="str">
        <f aca="false">"9.57"</f>
        <v>9.57</v>
      </c>
      <c r="M152" s="0" t="str">
        <f aca="false">"124.5"</f>
        <v>124.5</v>
      </c>
    </row>
    <row r="153" customFormat="false" ht="12.8" hidden="false" customHeight="false" outlineLevel="0" collapsed="false">
      <c r="A153" s="0" t="s">
        <v>1055</v>
      </c>
      <c r="B153" s="0" t="s">
        <v>9</v>
      </c>
      <c r="C153" s="0" t="str">
        <f aca="false">"621-632"</f>
        <v>621-632</v>
      </c>
      <c r="D153" s="0" t="s">
        <v>9</v>
      </c>
      <c r="E153" s="0" t="str">
        <f aca="false">"672-683"</f>
        <v>672-683</v>
      </c>
      <c r="F153" s="0" t="s">
        <v>1207</v>
      </c>
      <c r="G153" s="0" t="s">
        <v>9</v>
      </c>
      <c r="H153" s="0" t="str">
        <f aca="false">"156-167"</f>
        <v>156-167</v>
      </c>
      <c r="I153" s="0" t="s">
        <v>9</v>
      </c>
      <c r="J153" s="0" t="str">
        <f aca="false">"117-128"</f>
        <v>117-128</v>
      </c>
      <c r="K153" s="0" t="str">
        <f aca="false">"1.11"</f>
        <v>1.11</v>
      </c>
      <c r="L153" s="0" t="str">
        <f aca="false">"8.86"</f>
        <v>8.86</v>
      </c>
      <c r="M153" s="0" t="str">
        <f aca="false">"126.7"</f>
        <v>126.7</v>
      </c>
    </row>
    <row r="154" customFormat="false" ht="12.8" hidden="false" customHeight="false" outlineLevel="0" collapsed="false">
      <c r="A154" s="0" t="s">
        <v>1055</v>
      </c>
      <c r="B154" s="0" t="s">
        <v>9</v>
      </c>
      <c r="C154" s="0" t="str">
        <f aca="false">"621-632"</f>
        <v>621-632</v>
      </c>
      <c r="D154" s="0" t="s">
        <v>9</v>
      </c>
      <c r="E154" s="0" t="str">
        <f aca="false">"673-684"</f>
        <v>673-684</v>
      </c>
      <c r="F154" s="0" t="s">
        <v>1208</v>
      </c>
      <c r="G154" s="0" t="s">
        <v>13</v>
      </c>
      <c r="H154" s="0" t="str">
        <f aca="false">"159-170"</f>
        <v>159-170</v>
      </c>
      <c r="I154" s="0" t="s">
        <v>13</v>
      </c>
      <c r="J154" s="0" t="str">
        <f aca="false">"132-143"</f>
        <v>132-143</v>
      </c>
      <c r="K154" s="0" t="str">
        <f aca="false">"1.10"</f>
        <v>1.10</v>
      </c>
      <c r="L154" s="0" t="str">
        <f aca="false">"8.98"</f>
        <v>8.98</v>
      </c>
      <c r="M154" s="0" t="str">
        <f aca="false">"127.2"</f>
        <v>127.2</v>
      </c>
    </row>
    <row r="155" customFormat="false" ht="12.8" hidden="false" customHeight="false" outlineLevel="0" collapsed="false">
      <c r="A155" s="0" t="s">
        <v>1055</v>
      </c>
      <c r="B155" s="0" t="s">
        <v>9</v>
      </c>
      <c r="C155" s="0" t="str">
        <f aca="false">"619-630"</f>
        <v>619-630</v>
      </c>
      <c r="D155" s="0" t="s">
        <v>9</v>
      </c>
      <c r="E155" s="0" t="str">
        <f aca="false">"673-684"</f>
        <v>673-684</v>
      </c>
      <c r="F155" s="0" t="s">
        <v>1209</v>
      </c>
      <c r="G155" s="0" t="s">
        <v>9</v>
      </c>
      <c r="H155" s="0" t="str">
        <f aca="false">"68-79"</f>
        <v>68-79</v>
      </c>
      <c r="I155" s="0" t="s">
        <v>9</v>
      </c>
      <c r="J155" s="0" t="str">
        <f aca="false">"91-102"</f>
        <v>91-102</v>
      </c>
      <c r="K155" s="0" t="str">
        <f aca="false">"1.16"</f>
        <v>1.16</v>
      </c>
      <c r="L155" s="0" t="str">
        <f aca="false">"8.64"</f>
        <v>8.64</v>
      </c>
      <c r="M155" s="0" t="str">
        <f aca="false">"129.7"</f>
        <v>129.7</v>
      </c>
    </row>
    <row r="156" customFormat="false" ht="12.8" hidden="false" customHeight="false" outlineLevel="0" collapsed="false">
      <c r="A156" s="0" t="s">
        <v>1055</v>
      </c>
      <c r="B156" s="0" t="s">
        <v>9</v>
      </c>
      <c r="C156" s="0" t="str">
        <f aca="false">"618-629"</f>
        <v>618-629</v>
      </c>
      <c r="D156" s="0" t="s">
        <v>9</v>
      </c>
      <c r="E156" s="0" t="str">
        <f aca="false">"676-687"</f>
        <v>676-687</v>
      </c>
      <c r="F156" s="0" t="s">
        <v>1210</v>
      </c>
      <c r="G156" s="0" t="s">
        <v>9</v>
      </c>
      <c r="H156" s="0" t="str">
        <f aca="false">"65-76"</f>
        <v>65-76</v>
      </c>
      <c r="I156" s="0" t="s">
        <v>9</v>
      </c>
      <c r="J156" s="0" t="str">
        <f aca="false">"44-55"</f>
        <v>44-55</v>
      </c>
      <c r="K156" s="0" t="str">
        <f aca="false">"1.21"</f>
        <v>1.21</v>
      </c>
      <c r="L156" s="0" t="str">
        <f aca="false">"8.12"</f>
        <v>8.12</v>
      </c>
      <c r="M156" s="0" t="str">
        <f aca="false">"122.2"</f>
        <v>122.2</v>
      </c>
    </row>
    <row r="157" customFormat="false" ht="12.8" hidden="false" customHeight="false" outlineLevel="0" collapsed="false">
      <c r="A157" s="0" t="s">
        <v>1055</v>
      </c>
      <c r="B157" s="0" t="s">
        <v>9</v>
      </c>
      <c r="C157" s="0" t="str">
        <f aca="false">"618-629"</f>
        <v>618-629</v>
      </c>
      <c r="D157" s="0" t="s">
        <v>9</v>
      </c>
      <c r="E157" s="0" t="str">
        <f aca="false">"673-684"</f>
        <v>673-684</v>
      </c>
      <c r="F157" s="0" t="s">
        <v>1211</v>
      </c>
      <c r="G157" s="0" t="s">
        <v>13</v>
      </c>
      <c r="H157" s="0" t="str">
        <f aca="false">"70-81"</f>
        <v>70-81</v>
      </c>
      <c r="I157" s="0" t="s">
        <v>13</v>
      </c>
      <c r="J157" s="0" t="str">
        <f aca="false">"108-119"</f>
        <v>108-119</v>
      </c>
      <c r="K157" s="0" t="str">
        <f aca="false">"1.07"</f>
        <v>1.07</v>
      </c>
      <c r="L157" s="0" t="str">
        <f aca="false">"8.19"</f>
        <v>8.19</v>
      </c>
      <c r="M157" s="0" t="str">
        <f aca="false">"121.6"</f>
        <v>121.6</v>
      </c>
    </row>
    <row r="158" customFormat="false" ht="12.8" hidden="false" customHeight="false" outlineLevel="0" collapsed="false">
      <c r="A158" s="0" t="s">
        <v>1055</v>
      </c>
      <c r="B158" s="0" t="s">
        <v>9</v>
      </c>
      <c r="C158" s="0" t="str">
        <f aca="false">"618-629"</f>
        <v>618-629</v>
      </c>
      <c r="D158" s="0" t="s">
        <v>9</v>
      </c>
      <c r="E158" s="0" t="str">
        <f aca="false">"673-684"</f>
        <v>673-684</v>
      </c>
      <c r="F158" s="0" t="s">
        <v>1212</v>
      </c>
      <c r="G158" s="0" t="s">
        <v>9</v>
      </c>
      <c r="H158" s="0" t="str">
        <f aca="false">"232-243"</f>
        <v>232-243</v>
      </c>
      <c r="I158" s="0" t="s">
        <v>9</v>
      </c>
      <c r="J158" s="0" t="str">
        <f aca="false">"251-262"</f>
        <v>251-262</v>
      </c>
      <c r="K158" s="0" t="str">
        <f aca="false">"1.14"</f>
        <v>1.14</v>
      </c>
      <c r="L158" s="0" t="str">
        <f aca="false">"9.70"</f>
        <v>9.70</v>
      </c>
      <c r="M158" s="0" t="str">
        <f aca="false">"114.9"</f>
        <v>114.9</v>
      </c>
    </row>
    <row r="159" customFormat="false" ht="12.8" hidden="false" customHeight="false" outlineLevel="0" collapsed="false">
      <c r="A159" s="0" t="s">
        <v>1055</v>
      </c>
      <c r="B159" s="0" t="s">
        <v>9</v>
      </c>
      <c r="C159" s="0" t="str">
        <f aca="false">"619-630"</f>
        <v>619-630</v>
      </c>
      <c r="D159" s="0" t="s">
        <v>9</v>
      </c>
      <c r="E159" s="0" t="str">
        <f aca="false">"672-683"</f>
        <v>672-683</v>
      </c>
      <c r="F159" s="0" t="s">
        <v>1213</v>
      </c>
      <c r="G159" s="0" t="s">
        <v>120</v>
      </c>
      <c r="H159" s="0" t="str">
        <f aca="false">"100-111"</f>
        <v>100-111</v>
      </c>
      <c r="I159" s="0" t="s">
        <v>120</v>
      </c>
      <c r="J159" s="0" t="str">
        <f aca="false">"22-33"</f>
        <v>22-33</v>
      </c>
      <c r="K159" s="0" t="str">
        <f aca="false">"1.09"</f>
        <v>1.09</v>
      </c>
      <c r="L159" s="0" t="str">
        <f aca="false">"8.29"</f>
        <v>8.29</v>
      </c>
      <c r="M159" s="0" t="str">
        <f aca="false">"121.0"</f>
        <v>121.0</v>
      </c>
    </row>
    <row r="160" customFormat="false" ht="12.8" hidden="false" customHeight="false" outlineLevel="0" collapsed="false">
      <c r="A160" s="0" t="s">
        <v>1055</v>
      </c>
      <c r="B160" s="0" t="s">
        <v>9</v>
      </c>
      <c r="C160" s="0" t="str">
        <f aca="false">"618-629"</f>
        <v>618-629</v>
      </c>
      <c r="D160" s="0" t="s">
        <v>9</v>
      </c>
      <c r="E160" s="0" t="str">
        <f aca="false">"673-684"</f>
        <v>673-684</v>
      </c>
      <c r="F160" s="0" t="s">
        <v>1214</v>
      </c>
      <c r="G160" s="0" t="s">
        <v>13</v>
      </c>
      <c r="H160" s="0" t="str">
        <f aca="false">"128-139"</f>
        <v>128-139</v>
      </c>
      <c r="I160" s="0" t="s">
        <v>13</v>
      </c>
      <c r="J160" s="0" t="str">
        <f aca="false">"88-99"</f>
        <v>88-99</v>
      </c>
      <c r="K160" s="0" t="str">
        <f aca="false">"0.87"</f>
        <v>0.87</v>
      </c>
      <c r="L160" s="0" t="str">
        <f aca="false">"8.51"</f>
        <v>8.51</v>
      </c>
      <c r="M160" s="0" t="str">
        <f aca="false">"130.3"</f>
        <v>130.3</v>
      </c>
    </row>
    <row r="161" customFormat="false" ht="12.8" hidden="false" customHeight="false" outlineLevel="0" collapsed="false">
      <c r="A161" s="0" t="s">
        <v>1055</v>
      </c>
      <c r="B161" s="0" t="s">
        <v>9</v>
      </c>
      <c r="C161" s="0" t="str">
        <f aca="false">"617-628"</f>
        <v>617-628</v>
      </c>
      <c r="D161" s="0" t="s">
        <v>9</v>
      </c>
      <c r="E161" s="0" t="str">
        <f aca="false">"673-684"</f>
        <v>673-684</v>
      </c>
      <c r="F161" s="0" t="s">
        <v>1215</v>
      </c>
      <c r="G161" s="0" t="s">
        <v>9</v>
      </c>
      <c r="H161" s="0" t="str">
        <f aca="false">"119-130"</f>
        <v>119-130</v>
      </c>
      <c r="I161" s="0" t="s">
        <v>9</v>
      </c>
      <c r="J161" s="0" t="str">
        <f aca="false">"136-147"</f>
        <v>136-147</v>
      </c>
      <c r="K161" s="0" t="str">
        <f aca="false">"1.21"</f>
        <v>1.21</v>
      </c>
      <c r="L161" s="0" t="str">
        <f aca="false">"8.06"</f>
        <v>8.06</v>
      </c>
      <c r="M161" s="0" t="str">
        <f aca="false">"125.2"</f>
        <v>125.2</v>
      </c>
    </row>
    <row r="162" customFormat="false" ht="12.8" hidden="false" customHeight="false" outlineLevel="0" collapsed="false">
      <c r="A162" s="0" t="s">
        <v>1055</v>
      </c>
      <c r="B162" s="0" t="s">
        <v>9</v>
      </c>
      <c r="C162" s="0" t="str">
        <f aca="false">"618-629"</f>
        <v>618-629</v>
      </c>
      <c r="D162" s="0" t="s">
        <v>9</v>
      </c>
      <c r="E162" s="0" t="str">
        <f aca="false">"673-684"</f>
        <v>673-684</v>
      </c>
      <c r="F162" s="0" t="s">
        <v>1216</v>
      </c>
      <c r="G162" s="0" t="s">
        <v>120</v>
      </c>
      <c r="H162" s="0" t="str">
        <f aca="false">"117-128"</f>
        <v>117-128</v>
      </c>
      <c r="I162" s="0" t="s">
        <v>120</v>
      </c>
      <c r="J162" s="0" t="str">
        <f aca="false">"42-53"</f>
        <v>42-53</v>
      </c>
      <c r="K162" s="0" t="str">
        <f aca="false">"1.09"</f>
        <v>1.09</v>
      </c>
      <c r="L162" s="0" t="str">
        <f aca="false">"8.41"</f>
        <v>8.41</v>
      </c>
      <c r="M162" s="0" t="str">
        <f aca="false">"131.4"</f>
        <v>131.4</v>
      </c>
    </row>
    <row r="163" customFormat="false" ht="12.8" hidden="false" customHeight="false" outlineLevel="0" collapsed="false">
      <c r="A163" s="0" t="s">
        <v>1055</v>
      </c>
      <c r="B163" s="0" t="s">
        <v>9</v>
      </c>
      <c r="C163" s="0" t="str">
        <f aca="false">"619-630"</f>
        <v>619-630</v>
      </c>
      <c r="D163" s="0" t="s">
        <v>9</v>
      </c>
      <c r="E163" s="0" t="str">
        <f aca="false">"672-683"</f>
        <v>672-683</v>
      </c>
      <c r="F163" s="0" t="s">
        <v>1217</v>
      </c>
      <c r="G163" s="0" t="s">
        <v>9</v>
      </c>
      <c r="H163" s="0" t="str">
        <f aca="false">"149-160"</f>
        <v>149-160</v>
      </c>
      <c r="I163" s="0" t="s">
        <v>9</v>
      </c>
      <c r="J163" s="0" t="str">
        <f aca="false">"175-186"</f>
        <v>175-186</v>
      </c>
      <c r="K163" s="0" t="str">
        <f aca="false">"1.12"</f>
        <v>1.12</v>
      </c>
      <c r="L163" s="0" t="str">
        <f aca="false">"10.85"</f>
        <v>10.85</v>
      </c>
      <c r="M163" s="0" t="str">
        <f aca="false">"144.6"</f>
        <v>144.6</v>
      </c>
    </row>
    <row r="164" customFormat="false" ht="12.8" hidden="false" customHeight="false" outlineLevel="0" collapsed="false">
      <c r="A164" s="0" t="s">
        <v>1055</v>
      </c>
      <c r="B164" s="0" t="s">
        <v>9</v>
      </c>
      <c r="C164" s="0" t="str">
        <f aca="false">"618-629"</f>
        <v>618-629</v>
      </c>
      <c r="D164" s="0" t="s">
        <v>9</v>
      </c>
      <c r="E164" s="0" t="str">
        <f aca="false">"672-683"</f>
        <v>672-683</v>
      </c>
      <c r="F164" s="0" t="s">
        <v>1218</v>
      </c>
      <c r="G164" s="0" t="s">
        <v>13</v>
      </c>
      <c r="H164" s="0" t="str">
        <f aca="false">"13-24"</f>
        <v>13-24</v>
      </c>
      <c r="I164" s="0" t="s">
        <v>13</v>
      </c>
      <c r="J164" s="0" t="str">
        <f aca="false">"44-55"</f>
        <v>44-55</v>
      </c>
      <c r="K164" s="0" t="str">
        <f aca="false">"0.92"</f>
        <v>0.92</v>
      </c>
      <c r="L164" s="0" t="str">
        <f aca="false">"9.84"</f>
        <v>9.84</v>
      </c>
      <c r="M164" s="0" t="str">
        <f aca="false">"140.0"</f>
        <v>140.0</v>
      </c>
    </row>
    <row r="165" customFormat="false" ht="12.8" hidden="false" customHeight="false" outlineLevel="0" collapsed="false">
      <c r="A165" s="0" t="s">
        <v>1055</v>
      </c>
      <c r="B165" s="0" t="s">
        <v>9</v>
      </c>
      <c r="C165" s="0" t="str">
        <f aca="false">"618-629"</f>
        <v>618-629</v>
      </c>
      <c r="D165" s="0" t="s">
        <v>9</v>
      </c>
      <c r="E165" s="0" t="str">
        <f aca="false">"676-687"</f>
        <v>676-687</v>
      </c>
      <c r="F165" s="0" t="s">
        <v>1219</v>
      </c>
      <c r="G165" s="0" t="s">
        <v>9</v>
      </c>
      <c r="H165" s="0" t="str">
        <f aca="false">"162-173"</f>
        <v>162-173</v>
      </c>
      <c r="I165" s="0" t="s">
        <v>9</v>
      </c>
      <c r="J165" s="0" t="str">
        <f aca="false">"10-21"</f>
        <v>10-21</v>
      </c>
      <c r="K165" s="0" t="str">
        <f aca="false">"1.01"</f>
        <v>1.01</v>
      </c>
      <c r="L165" s="0" t="str">
        <f aca="false">"8.74"</f>
        <v>8.74</v>
      </c>
      <c r="M165" s="0" t="str">
        <f aca="false">"142.1"</f>
        <v>142.1</v>
      </c>
    </row>
    <row r="166" customFormat="false" ht="12.8" hidden="false" customHeight="false" outlineLevel="0" collapsed="false">
      <c r="A166" s="0" t="s">
        <v>1055</v>
      </c>
      <c r="B166" s="0" t="s">
        <v>9</v>
      </c>
      <c r="C166" s="0" t="str">
        <f aca="false">"617-628"</f>
        <v>617-628</v>
      </c>
      <c r="D166" s="0" t="s">
        <v>9</v>
      </c>
      <c r="E166" s="0" t="str">
        <f aca="false">"675-686"</f>
        <v>675-686</v>
      </c>
      <c r="F166" s="0" t="s">
        <v>1220</v>
      </c>
      <c r="G166" s="0" t="s">
        <v>9</v>
      </c>
      <c r="H166" s="0" t="str">
        <f aca="false">"201-212"</f>
        <v>201-212</v>
      </c>
      <c r="I166" s="0" t="s">
        <v>9</v>
      </c>
      <c r="J166" s="0" t="str">
        <f aca="false">"90-101"</f>
        <v>90-101</v>
      </c>
      <c r="K166" s="0" t="str">
        <f aca="false">"1.09"</f>
        <v>1.09</v>
      </c>
      <c r="L166" s="0" t="str">
        <f aca="false">"10.71"</f>
        <v>10.71</v>
      </c>
      <c r="M166" s="0" t="str">
        <f aca="false">"144.1"</f>
        <v>144.1</v>
      </c>
    </row>
    <row r="167" customFormat="false" ht="12.8" hidden="false" customHeight="false" outlineLevel="0" collapsed="false">
      <c r="A167" s="0" t="s">
        <v>1055</v>
      </c>
      <c r="B167" s="0" t="s">
        <v>9</v>
      </c>
      <c r="C167" s="0" t="str">
        <f aca="false">"616-627"</f>
        <v>616-627</v>
      </c>
      <c r="D167" s="0" t="s">
        <v>9</v>
      </c>
      <c r="E167" s="0" t="str">
        <f aca="false">"676-687"</f>
        <v>676-687</v>
      </c>
      <c r="F167" s="0" t="s">
        <v>1221</v>
      </c>
      <c r="G167" s="0" t="s">
        <v>13</v>
      </c>
      <c r="H167" s="0" t="str">
        <f aca="false">"425-436"</f>
        <v>425-436</v>
      </c>
      <c r="I167" s="0" t="s">
        <v>13</v>
      </c>
      <c r="J167" s="0" t="str">
        <f aca="false">"365-376"</f>
        <v>365-376</v>
      </c>
      <c r="K167" s="0" t="str">
        <f aca="false">"1.11"</f>
        <v>1.11</v>
      </c>
      <c r="L167" s="0" t="str">
        <f aca="false">"10.60"</f>
        <v>10.60</v>
      </c>
      <c r="M167" s="0" t="str">
        <f aca="false">"145.6"</f>
        <v>145.6</v>
      </c>
    </row>
    <row r="168" customFormat="false" ht="12.8" hidden="false" customHeight="false" outlineLevel="0" collapsed="false">
      <c r="A168" s="0" t="s">
        <v>1055</v>
      </c>
      <c r="B168" s="0" t="s">
        <v>9</v>
      </c>
      <c r="C168" s="0" t="str">
        <f aca="false">"618-629"</f>
        <v>618-629</v>
      </c>
      <c r="D168" s="0" t="s">
        <v>9</v>
      </c>
      <c r="E168" s="0" t="str">
        <f aca="false">"672-683"</f>
        <v>672-683</v>
      </c>
      <c r="F168" s="0" t="s">
        <v>1222</v>
      </c>
      <c r="G168" s="0" t="s">
        <v>13</v>
      </c>
      <c r="H168" s="0" t="str">
        <f aca="false">"429-440"</f>
        <v>429-440</v>
      </c>
      <c r="I168" s="0" t="s">
        <v>9</v>
      </c>
      <c r="J168" s="0" t="str">
        <f aca="false">"378-389"</f>
        <v>378-389</v>
      </c>
      <c r="K168" s="0" t="str">
        <f aca="false">"0.81"</f>
        <v>0.81</v>
      </c>
      <c r="L168" s="0" t="str">
        <f aca="false">"10.65"</f>
        <v>10.65</v>
      </c>
      <c r="M168" s="0" t="str">
        <f aca="false">"132.6"</f>
        <v>132.6</v>
      </c>
    </row>
    <row r="169" customFormat="false" ht="12.8" hidden="false" customHeight="false" outlineLevel="0" collapsed="false">
      <c r="A169" s="0" t="s">
        <v>1055</v>
      </c>
      <c r="B169" s="0" t="s">
        <v>9</v>
      </c>
      <c r="C169" s="0" t="str">
        <f aca="false">"614-625"</f>
        <v>614-625</v>
      </c>
      <c r="D169" s="0" t="s">
        <v>9</v>
      </c>
      <c r="E169" s="0" t="str">
        <f aca="false">"676-687"</f>
        <v>676-687</v>
      </c>
      <c r="F169" s="0" t="s">
        <v>1223</v>
      </c>
      <c r="G169" s="0" t="s">
        <v>9</v>
      </c>
      <c r="H169" s="0" t="str">
        <f aca="false">"181-192"</f>
        <v>181-192</v>
      </c>
      <c r="I169" s="0" t="s">
        <v>9</v>
      </c>
      <c r="J169" s="0" t="str">
        <f aca="false">"290-301"</f>
        <v>290-301</v>
      </c>
      <c r="K169" s="0" t="str">
        <f aca="false">"1.10"</f>
        <v>1.10</v>
      </c>
      <c r="L169" s="0" t="str">
        <f aca="false">"11.33"</f>
        <v>11.33</v>
      </c>
      <c r="M169" s="0" t="str">
        <f aca="false">"125.5"</f>
        <v>125.5</v>
      </c>
    </row>
    <row r="170" customFormat="false" ht="12.8" hidden="false" customHeight="false" outlineLevel="0" collapsed="false">
      <c r="A170" s="0" t="s">
        <v>1055</v>
      </c>
      <c r="B170" s="0" t="s">
        <v>9</v>
      </c>
      <c r="C170" s="0" t="str">
        <f aca="false">"618-629"</f>
        <v>618-629</v>
      </c>
      <c r="D170" s="0" t="s">
        <v>9</v>
      </c>
      <c r="E170" s="0" t="str">
        <f aca="false">"673-684"</f>
        <v>673-684</v>
      </c>
      <c r="F170" s="0" t="s">
        <v>1224</v>
      </c>
      <c r="G170" s="0" t="s">
        <v>9</v>
      </c>
      <c r="H170" s="0" t="str">
        <f aca="false">"100-111"</f>
        <v>100-111</v>
      </c>
      <c r="I170" s="0" t="s">
        <v>9</v>
      </c>
      <c r="J170" s="0" t="str">
        <f aca="false">"189-200"</f>
        <v>189-200</v>
      </c>
      <c r="K170" s="0" t="str">
        <f aca="false">"1.10"</f>
        <v>1.10</v>
      </c>
      <c r="L170" s="0" t="str">
        <f aca="false">"9.18"</f>
        <v>9.18</v>
      </c>
      <c r="M170" s="0" t="str">
        <f aca="false">"125.3"</f>
        <v>125.3</v>
      </c>
    </row>
    <row r="171" customFormat="false" ht="12.8" hidden="false" customHeight="false" outlineLevel="0" collapsed="false">
      <c r="A171" s="0" t="s">
        <v>1055</v>
      </c>
      <c r="B171" s="0" t="s">
        <v>9</v>
      </c>
      <c r="C171" s="0" t="str">
        <f aca="false">"618-629"</f>
        <v>618-629</v>
      </c>
      <c r="D171" s="0" t="s">
        <v>9</v>
      </c>
      <c r="E171" s="0" t="str">
        <f aca="false">"672-683"</f>
        <v>672-683</v>
      </c>
      <c r="F171" s="0" t="s">
        <v>1225</v>
      </c>
      <c r="G171" s="0" t="s">
        <v>13</v>
      </c>
      <c r="H171" s="0" t="str">
        <f aca="false">"142-153"</f>
        <v>142-153</v>
      </c>
      <c r="I171" s="0" t="s">
        <v>13</v>
      </c>
      <c r="J171" s="0" t="str">
        <f aca="false">"165-176"</f>
        <v>165-176</v>
      </c>
      <c r="K171" s="0" t="str">
        <f aca="false">"0.85"</f>
        <v>0.85</v>
      </c>
      <c r="L171" s="0" t="str">
        <f aca="false">"9.90"</f>
        <v>9.90</v>
      </c>
      <c r="M171" s="0" t="str">
        <f aca="false">"127.3"</f>
        <v>127.3</v>
      </c>
    </row>
    <row r="172" customFormat="false" ht="12.8" hidden="false" customHeight="false" outlineLevel="0" collapsed="false">
      <c r="A172" s="0" t="s">
        <v>1055</v>
      </c>
      <c r="B172" s="0" t="s">
        <v>9</v>
      </c>
      <c r="C172" s="0" t="str">
        <f aca="false">"618-629"</f>
        <v>618-629</v>
      </c>
      <c r="D172" s="0" t="s">
        <v>9</v>
      </c>
      <c r="E172" s="0" t="str">
        <f aca="false">"673-684"</f>
        <v>673-684</v>
      </c>
      <c r="F172" s="0" t="s">
        <v>1226</v>
      </c>
      <c r="G172" s="0" t="s">
        <v>9</v>
      </c>
      <c r="H172" s="0" t="str">
        <f aca="false">"100-111"</f>
        <v>100-111</v>
      </c>
      <c r="I172" s="0" t="s">
        <v>9</v>
      </c>
      <c r="J172" s="0" t="str">
        <f aca="false">"119-130"</f>
        <v>119-130</v>
      </c>
      <c r="K172" s="0" t="str">
        <f aca="false">"0.87"</f>
        <v>0.87</v>
      </c>
      <c r="L172" s="0" t="str">
        <f aca="false">"10.01"</f>
        <v>10.01</v>
      </c>
      <c r="M172" s="0" t="str">
        <f aca="false">"127.7"</f>
        <v>127.7</v>
      </c>
    </row>
    <row r="173" customFormat="false" ht="12.8" hidden="false" customHeight="false" outlineLevel="0" collapsed="false">
      <c r="A173" s="0" t="s">
        <v>1055</v>
      </c>
      <c r="B173" s="0" t="s">
        <v>9</v>
      </c>
      <c r="C173" s="0" t="str">
        <f aca="false">"614-625"</f>
        <v>614-625</v>
      </c>
      <c r="D173" s="0" t="s">
        <v>9</v>
      </c>
      <c r="E173" s="0" t="str">
        <f aca="false">"673-684"</f>
        <v>673-684</v>
      </c>
      <c r="F173" s="0" t="s">
        <v>1227</v>
      </c>
      <c r="G173" s="0" t="s">
        <v>9</v>
      </c>
      <c r="H173" s="0" t="str">
        <f aca="false">"449-460"</f>
        <v>449-460</v>
      </c>
      <c r="I173" s="0" t="s">
        <v>9</v>
      </c>
      <c r="J173" s="0" t="str">
        <f aca="false">"509-520"</f>
        <v>509-520</v>
      </c>
      <c r="K173" s="0" t="str">
        <f aca="false">"1.22"</f>
        <v>1.22</v>
      </c>
      <c r="L173" s="0" t="str">
        <f aca="false">"12.01"</f>
        <v>12.01</v>
      </c>
      <c r="M173" s="0" t="str">
        <f aca="false">"142.6"</f>
        <v>142.6</v>
      </c>
    </row>
    <row r="174" customFormat="false" ht="12.8" hidden="false" customHeight="false" outlineLevel="0" collapsed="false">
      <c r="A174" s="0" t="s">
        <v>1055</v>
      </c>
      <c r="B174" s="0" t="s">
        <v>9</v>
      </c>
      <c r="C174" s="0" t="str">
        <f aca="false">"615-626"</f>
        <v>615-626</v>
      </c>
      <c r="D174" s="0" t="s">
        <v>9</v>
      </c>
      <c r="E174" s="0" t="str">
        <f aca="false">"676-687"</f>
        <v>676-687</v>
      </c>
      <c r="F174" s="0" t="s">
        <v>1228</v>
      </c>
      <c r="G174" s="0" t="s">
        <v>13</v>
      </c>
      <c r="H174" s="0" t="str">
        <f aca="false">"112-123"</f>
        <v>112-123</v>
      </c>
      <c r="I174" s="0" t="s">
        <v>13</v>
      </c>
      <c r="J174" s="0" t="str">
        <f aca="false">"76-87"</f>
        <v>76-87</v>
      </c>
      <c r="K174" s="0" t="str">
        <f aca="false">"0.41"</f>
        <v>0.41</v>
      </c>
      <c r="L174" s="0" t="str">
        <f aca="false">"10.17"</f>
        <v>10.17</v>
      </c>
      <c r="M174" s="0" t="str">
        <f aca="false">"135.5"</f>
        <v>135.5</v>
      </c>
    </row>
    <row r="175" customFormat="false" ht="12.8" hidden="false" customHeight="false" outlineLevel="0" collapsed="false">
      <c r="A175" s="0" t="s">
        <v>1055</v>
      </c>
      <c r="B175" s="0" t="s">
        <v>9</v>
      </c>
      <c r="C175" s="0" t="str">
        <f aca="false">"619-630"</f>
        <v>619-630</v>
      </c>
      <c r="D175" s="0" t="s">
        <v>9</v>
      </c>
      <c r="E175" s="0" t="str">
        <f aca="false">"672-683"</f>
        <v>672-683</v>
      </c>
      <c r="F175" s="0" t="s">
        <v>1229</v>
      </c>
      <c r="G175" s="0" t="s">
        <v>9</v>
      </c>
      <c r="H175" s="0" t="str">
        <f aca="false">"114-125"</f>
        <v>114-125</v>
      </c>
      <c r="I175" s="0" t="s">
        <v>9</v>
      </c>
      <c r="J175" s="0" t="str">
        <f aca="false">"33-44"</f>
        <v>33-44</v>
      </c>
      <c r="K175" s="0" t="str">
        <f aca="false">"0.74"</f>
        <v>0.74</v>
      </c>
      <c r="L175" s="0" t="str">
        <f aca="false">"9.43"</f>
        <v>9.43</v>
      </c>
      <c r="M175" s="0" t="str">
        <f aca="false">"127.0"</f>
        <v>127.0</v>
      </c>
    </row>
    <row r="176" customFormat="false" ht="12.8" hidden="false" customHeight="false" outlineLevel="0" collapsed="false">
      <c r="A176" s="0" t="s">
        <v>1055</v>
      </c>
      <c r="B176" s="0" t="s">
        <v>9</v>
      </c>
      <c r="C176" s="0" t="str">
        <f aca="false">"621-632"</f>
        <v>621-632</v>
      </c>
      <c r="D176" s="0" t="s">
        <v>9</v>
      </c>
      <c r="E176" s="0" t="str">
        <f aca="false">"672-683"</f>
        <v>672-683</v>
      </c>
      <c r="F176" s="0" t="s">
        <v>1230</v>
      </c>
      <c r="G176" s="0" t="s">
        <v>9</v>
      </c>
      <c r="H176" s="0" t="str">
        <f aca="false">"178-189"</f>
        <v>178-189</v>
      </c>
      <c r="I176" s="0" t="s">
        <v>9</v>
      </c>
      <c r="J176" s="0" t="str">
        <f aca="false">"132-143"</f>
        <v>132-143</v>
      </c>
      <c r="K176" s="0" t="str">
        <f aca="false">"0.78"</f>
        <v>0.78</v>
      </c>
      <c r="L176" s="0" t="str">
        <f aca="false">"8.57"</f>
        <v>8.57</v>
      </c>
      <c r="M176" s="0" t="str">
        <f aca="false">"130.2"</f>
        <v>130.2</v>
      </c>
    </row>
    <row r="177" customFormat="false" ht="12.8" hidden="false" customHeight="false" outlineLevel="0" collapsed="false">
      <c r="A177" s="0" t="s">
        <v>1055</v>
      </c>
      <c r="B177" s="0" t="s">
        <v>9</v>
      </c>
      <c r="C177" s="0" t="str">
        <f aca="false">"613-624"</f>
        <v>613-624</v>
      </c>
      <c r="D177" s="0" t="s">
        <v>9</v>
      </c>
      <c r="E177" s="0" t="str">
        <f aca="false">"675-686"</f>
        <v>675-686</v>
      </c>
      <c r="F177" s="0" t="s">
        <v>1231</v>
      </c>
      <c r="G177" s="0" t="s">
        <v>9</v>
      </c>
      <c r="H177" s="0" t="str">
        <f aca="false">"66-77"</f>
        <v>66-77</v>
      </c>
      <c r="I177" s="0" t="s">
        <v>9</v>
      </c>
      <c r="J177" s="0" t="str">
        <f aca="false">"123-134"</f>
        <v>123-134</v>
      </c>
      <c r="K177" s="0" t="str">
        <f aca="false">"1.18"</f>
        <v>1.18</v>
      </c>
      <c r="L177" s="0" t="str">
        <f aca="false">"13.08"</f>
        <v>13.08</v>
      </c>
      <c r="M177" s="0" t="str">
        <f aca="false">"127.3"</f>
        <v>127.3</v>
      </c>
    </row>
    <row r="178" customFormat="false" ht="12.8" hidden="false" customHeight="false" outlineLevel="0" collapsed="false">
      <c r="A178" s="0" t="s">
        <v>1055</v>
      </c>
      <c r="B178" s="0" t="s">
        <v>9</v>
      </c>
      <c r="C178" s="0" t="str">
        <f aca="false">"617-628"</f>
        <v>617-628</v>
      </c>
      <c r="D178" s="0" t="s">
        <v>9</v>
      </c>
      <c r="E178" s="0" t="str">
        <f aca="false">"673-684"</f>
        <v>673-684</v>
      </c>
      <c r="F178" s="0" t="s">
        <v>1232</v>
      </c>
      <c r="G178" s="0" t="s">
        <v>9</v>
      </c>
      <c r="H178" s="0" t="str">
        <f aca="false">"126-137"</f>
        <v>126-137</v>
      </c>
      <c r="I178" s="0" t="s">
        <v>9</v>
      </c>
      <c r="J178" s="0" t="str">
        <f aca="false">"44-55"</f>
        <v>44-55</v>
      </c>
      <c r="K178" s="0" t="str">
        <f aca="false">"1.19"</f>
        <v>1.19</v>
      </c>
      <c r="L178" s="0" t="str">
        <f aca="false">"9.89"</f>
        <v>9.89</v>
      </c>
      <c r="M178" s="0" t="str">
        <f aca="false">"131.1"</f>
        <v>131.1</v>
      </c>
    </row>
    <row r="179" customFormat="false" ht="12.8" hidden="false" customHeight="false" outlineLevel="0" collapsed="false">
      <c r="A179" s="0" t="s">
        <v>1055</v>
      </c>
      <c r="B179" s="0" t="s">
        <v>9</v>
      </c>
      <c r="C179" s="0" t="str">
        <f aca="false">"614-625"</f>
        <v>614-625</v>
      </c>
      <c r="D179" s="0" t="s">
        <v>9</v>
      </c>
      <c r="E179" s="0" t="str">
        <f aca="false">"676-687"</f>
        <v>676-687</v>
      </c>
      <c r="F179" s="0" t="s">
        <v>1233</v>
      </c>
      <c r="G179" s="0" t="s">
        <v>9</v>
      </c>
      <c r="H179" s="0" t="str">
        <f aca="false">"24-35"</f>
        <v>24-35</v>
      </c>
      <c r="I179" s="0" t="s">
        <v>9</v>
      </c>
      <c r="J179" s="0" t="str">
        <f aca="false">"107-118"</f>
        <v>107-118</v>
      </c>
      <c r="K179" s="0" t="str">
        <f aca="false">"1.24"</f>
        <v>1.24</v>
      </c>
      <c r="L179" s="0" t="str">
        <f aca="false">"10.84"</f>
        <v>10.84</v>
      </c>
      <c r="M179" s="0" t="str">
        <f aca="false">"131.4"</f>
        <v>131.4</v>
      </c>
    </row>
    <row r="180" customFormat="false" ht="12.8" hidden="false" customHeight="false" outlineLevel="0" collapsed="false">
      <c r="A180" s="0" t="s">
        <v>1055</v>
      </c>
      <c r="B180" s="0" t="s">
        <v>9</v>
      </c>
      <c r="C180" s="0" t="str">
        <f aca="false">"613-624"</f>
        <v>613-624</v>
      </c>
      <c r="D180" s="0" t="s">
        <v>9</v>
      </c>
      <c r="E180" s="0" t="str">
        <f aca="false">"677-688"</f>
        <v>677-688</v>
      </c>
      <c r="F180" s="0" t="s">
        <v>1234</v>
      </c>
      <c r="G180" s="0" t="s">
        <v>9</v>
      </c>
      <c r="H180" s="0" t="str">
        <f aca="false">"98-109"</f>
        <v>98-109</v>
      </c>
      <c r="I180" s="0" t="s">
        <v>9</v>
      </c>
      <c r="J180" s="0" t="str">
        <f aca="false">"51-62"</f>
        <v>51-62</v>
      </c>
      <c r="K180" s="0" t="str">
        <f aca="false">"1.06"</f>
        <v>1.06</v>
      </c>
      <c r="L180" s="0" t="str">
        <f aca="false">"11.21"</f>
        <v>11.21</v>
      </c>
      <c r="M180" s="0" t="str">
        <f aca="false">"133.7"</f>
        <v>133.7</v>
      </c>
    </row>
    <row r="181" customFormat="false" ht="12.8" hidden="false" customHeight="false" outlineLevel="0" collapsed="false">
      <c r="A181" s="0" t="s">
        <v>1055</v>
      </c>
      <c r="B181" s="0" t="s">
        <v>9</v>
      </c>
      <c r="C181" s="0" t="str">
        <f aca="false">"619-630"</f>
        <v>619-630</v>
      </c>
      <c r="D181" s="0" t="s">
        <v>9</v>
      </c>
      <c r="E181" s="0" t="str">
        <f aca="false">"672-683"</f>
        <v>672-683</v>
      </c>
      <c r="F181" s="0" t="s">
        <v>1235</v>
      </c>
      <c r="G181" s="0" t="s">
        <v>13</v>
      </c>
      <c r="H181" s="0" t="str">
        <f aca="false">"456-467"</f>
        <v>456-467</v>
      </c>
      <c r="I181" s="0" t="s">
        <v>13</v>
      </c>
      <c r="J181" s="0" t="str">
        <f aca="false">"421-432"</f>
        <v>421-432</v>
      </c>
      <c r="K181" s="0" t="str">
        <f aca="false">"1.11"</f>
        <v>1.11</v>
      </c>
      <c r="L181" s="0" t="str">
        <f aca="false">"9.91"</f>
        <v>9.91</v>
      </c>
      <c r="M181" s="0" t="str">
        <f aca="false">"115.5"</f>
        <v>115.5</v>
      </c>
    </row>
    <row r="182" customFormat="false" ht="12.8" hidden="false" customHeight="false" outlineLevel="0" collapsed="false">
      <c r="A182" s="0" t="s">
        <v>1055</v>
      </c>
      <c r="B182" s="0" t="s">
        <v>9</v>
      </c>
      <c r="C182" s="0" t="str">
        <f aca="false">"621-632"</f>
        <v>621-632</v>
      </c>
      <c r="D182" s="0" t="s">
        <v>9</v>
      </c>
      <c r="E182" s="0" t="str">
        <f aca="false">"672-683"</f>
        <v>672-683</v>
      </c>
      <c r="F182" s="0" t="s">
        <v>1236</v>
      </c>
      <c r="G182" s="0" t="s">
        <v>9</v>
      </c>
      <c r="H182" s="0" t="str">
        <f aca="false">"71-82"</f>
        <v>71-82</v>
      </c>
      <c r="I182" s="0" t="s">
        <v>13</v>
      </c>
      <c r="J182" s="0" t="str">
        <f aca="false">"71-82"</f>
        <v>71-82</v>
      </c>
      <c r="K182" s="0" t="str">
        <f aca="false">"1.20"</f>
        <v>1.20</v>
      </c>
      <c r="L182" s="0" t="str">
        <f aca="false">"9.77"</f>
        <v>9.77</v>
      </c>
      <c r="M182" s="0" t="str">
        <f aca="false">"126.8"</f>
        <v>126.8</v>
      </c>
    </row>
    <row r="183" customFormat="false" ht="12.8" hidden="false" customHeight="false" outlineLevel="0" collapsed="false">
      <c r="A183" s="0" t="s">
        <v>1055</v>
      </c>
      <c r="B183" s="0" t="s">
        <v>9</v>
      </c>
      <c r="C183" s="0" t="str">
        <f aca="false">"616-627"</f>
        <v>616-627</v>
      </c>
      <c r="D183" s="0" t="s">
        <v>9</v>
      </c>
      <c r="E183" s="0" t="str">
        <f aca="false">"675-686"</f>
        <v>675-686</v>
      </c>
      <c r="F183" s="0" t="s">
        <v>1237</v>
      </c>
      <c r="G183" s="0" t="s">
        <v>13</v>
      </c>
      <c r="H183" s="0" t="str">
        <f aca="false">"716-727"</f>
        <v>716-727</v>
      </c>
      <c r="I183" s="0" t="s">
        <v>13</v>
      </c>
      <c r="J183" s="0" t="str">
        <f aca="false">"732-743"</f>
        <v>732-743</v>
      </c>
      <c r="K183" s="0" t="str">
        <f aca="false">"1.24"</f>
        <v>1.24</v>
      </c>
      <c r="L183" s="0" t="str">
        <f aca="false">"9.97"</f>
        <v>9.97</v>
      </c>
      <c r="M183" s="0" t="str">
        <f aca="false">"145.0"</f>
        <v>145.0</v>
      </c>
    </row>
    <row r="184" customFormat="false" ht="12.8" hidden="false" customHeight="false" outlineLevel="0" collapsed="false">
      <c r="A184" s="0" t="s">
        <v>1055</v>
      </c>
      <c r="B184" s="0" t="s">
        <v>9</v>
      </c>
      <c r="C184" s="0" t="str">
        <f aca="false">"618-629"</f>
        <v>618-629</v>
      </c>
      <c r="D184" s="0" t="s">
        <v>9</v>
      </c>
      <c r="E184" s="0" t="str">
        <f aca="false">"674-685"</f>
        <v>674-685</v>
      </c>
      <c r="F184" s="0" t="s">
        <v>1238</v>
      </c>
      <c r="G184" s="0" t="s">
        <v>9</v>
      </c>
      <c r="H184" s="0" t="str">
        <f aca="false">"141-152"</f>
        <v>141-152</v>
      </c>
      <c r="I184" s="0" t="s">
        <v>9</v>
      </c>
      <c r="J184" s="0" t="str">
        <f aca="false">"115-126"</f>
        <v>115-126</v>
      </c>
      <c r="K184" s="0" t="str">
        <f aca="false">"1.12"</f>
        <v>1.12</v>
      </c>
      <c r="L184" s="0" t="str">
        <f aca="false">"8.37"</f>
        <v>8.37</v>
      </c>
      <c r="M184" s="0" t="str">
        <f aca="false">"140.2"</f>
        <v>140.2</v>
      </c>
    </row>
    <row r="185" customFormat="false" ht="12.8" hidden="false" customHeight="false" outlineLevel="0" collapsed="false">
      <c r="A185" s="0" t="s">
        <v>1055</v>
      </c>
      <c r="B185" s="0" t="s">
        <v>9</v>
      </c>
      <c r="C185" s="0" t="str">
        <f aca="false">"618-629"</f>
        <v>618-629</v>
      </c>
      <c r="D185" s="0" t="s">
        <v>9</v>
      </c>
      <c r="E185" s="0" t="str">
        <f aca="false">"673-684"</f>
        <v>673-684</v>
      </c>
      <c r="F185" s="0" t="s">
        <v>1239</v>
      </c>
      <c r="G185" s="0" t="s">
        <v>9</v>
      </c>
      <c r="H185" s="0" t="str">
        <f aca="false">"78-89"</f>
        <v>78-89</v>
      </c>
      <c r="I185" s="0" t="s">
        <v>9</v>
      </c>
      <c r="J185" s="0" t="str">
        <f aca="false">"15-26"</f>
        <v>15-26</v>
      </c>
      <c r="K185" s="0" t="str">
        <f aca="false">"0.76"</f>
        <v>0.76</v>
      </c>
      <c r="L185" s="0" t="str">
        <f aca="false">"8.61"</f>
        <v>8.61</v>
      </c>
      <c r="M185" s="0" t="str">
        <f aca="false">"131.8"</f>
        <v>131.8</v>
      </c>
    </row>
    <row r="186" customFormat="false" ht="12.8" hidden="false" customHeight="false" outlineLevel="0" collapsed="false">
      <c r="A186" s="0" t="s">
        <v>1055</v>
      </c>
      <c r="B186" s="0" t="s">
        <v>9</v>
      </c>
      <c r="C186" s="0" t="str">
        <f aca="false">"618-629"</f>
        <v>618-629</v>
      </c>
      <c r="D186" s="0" t="s">
        <v>9</v>
      </c>
      <c r="E186" s="0" t="str">
        <f aca="false">"673-684"</f>
        <v>673-684</v>
      </c>
      <c r="F186" s="0" t="s">
        <v>1240</v>
      </c>
      <c r="G186" s="0" t="s">
        <v>9</v>
      </c>
      <c r="H186" s="0" t="str">
        <f aca="false">"76-87"</f>
        <v>76-87</v>
      </c>
      <c r="I186" s="0" t="s">
        <v>9</v>
      </c>
      <c r="J186" s="0" t="str">
        <f aca="false">"9-20"</f>
        <v>9-20</v>
      </c>
      <c r="K186" s="0" t="str">
        <f aca="false">"0.89"</f>
        <v>0.89</v>
      </c>
      <c r="L186" s="0" t="str">
        <f aca="false">"8.65"</f>
        <v>8.65</v>
      </c>
      <c r="M186" s="0" t="str">
        <f aca="false">"133.8"</f>
        <v>133.8</v>
      </c>
    </row>
    <row r="187" customFormat="false" ht="12.8" hidden="false" customHeight="false" outlineLevel="0" collapsed="false">
      <c r="A187" s="0" t="s">
        <v>1055</v>
      </c>
      <c r="B187" s="0" t="s">
        <v>9</v>
      </c>
      <c r="C187" s="0" t="str">
        <f aca="false">"618-629"</f>
        <v>618-629</v>
      </c>
      <c r="D187" s="0" t="s">
        <v>9</v>
      </c>
      <c r="E187" s="0" t="str">
        <f aca="false">"672-683"</f>
        <v>672-683</v>
      </c>
      <c r="F187" s="0" t="s">
        <v>1241</v>
      </c>
      <c r="G187" s="0" t="s">
        <v>13</v>
      </c>
      <c r="H187" s="0" t="str">
        <f aca="false">"377-388"</f>
        <v>377-388</v>
      </c>
      <c r="I187" s="0" t="s">
        <v>13</v>
      </c>
      <c r="J187" s="0" t="str">
        <f aca="false">"363-374"</f>
        <v>363-374</v>
      </c>
      <c r="K187" s="0" t="str">
        <f aca="false">"0.94"</f>
        <v>0.94</v>
      </c>
      <c r="L187" s="0" t="str">
        <f aca="false">"9.83"</f>
        <v>9.83</v>
      </c>
      <c r="M187" s="0" t="str">
        <f aca="false">"130.1"</f>
        <v>130.1</v>
      </c>
    </row>
    <row r="188" customFormat="false" ht="12.8" hidden="false" customHeight="false" outlineLevel="0" collapsed="false">
      <c r="A188" s="0" t="s">
        <v>1055</v>
      </c>
      <c r="B188" s="0" t="s">
        <v>9</v>
      </c>
      <c r="C188" s="0" t="str">
        <f aca="false">"618-629"</f>
        <v>618-629</v>
      </c>
      <c r="D188" s="0" t="s">
        <v>9</v>
      </c>
      <c r="E188" s="0" t="str">
        <f aca="false">"673-684"</f>
        <v>673-684</v>
      </c>
      <c r="F188" s="0" t="s">
        <v>1242</v>
      </c>
      <c r="G188" s="0" t="s">
        <v>9</v>
      </c>
      <c r="H188" s="0" t="str">
        <f aca="false">"64-75"</f>
        <v>64-75</v>
      </c>
      <c r="I188" s="0" t="s">
        <v>9</v>
      </c>
      <c r="J188" s="0" t="str">
        <f aca="false">"129-140"</f>
        <v>129-140</v>
      </c>
      <c r="K188" s="0" t="str">
        <f aca="false">"0.94"</f>
        <v>0.94</v>
      </c>
      <c r="L188" s="0" t="str">
        <f aca="false">"8.75"</f>
        <v>8.75</v>
      </c>
      <c r="M188" s="0" t="str">
        <f aca="false">"132.6"</f>
        <v>132.6</v>
      </c>
    </row>
    <row r="189" customFormat="false" ht="12.8" hidden="false" customHeight="false" outlineLevel="0" collapsed="false">
      <c r="A189" s="0" t="s">
        <v>1055</v>
      </c>
      <c r="B189" s="0" t="s">
        <v>9</v>
      </c>
      <c r="C189" s="0" t="str">
        <f aca="false">"618-629"</f>
        <v>618-629</v>
      </c>
      <c r="D189" s="0" t="s">
        <v>9</v>
      </c>
      <c r="E189" s="0" t="str">
        <f aca="false">"673-684"</f>
        <v>673-684</v>
      </c>
      <c r="F189" s="0" t="s">
        <v>1243</v>
      </c>
      <c r="G189" s="0" t="s">
        <v>9</v>
      </c>
      <c r="H189" s="0" t="str">
        <f aca="false">"91-102"</f>
        <v>91-102</v>
      </c>
      <c r="I189" s="0" t="s">
        <v>9</v>
      </c>
      <c r="J189" s="0" t="str">
        <f aca="false">"26-37"</f>
        <v>26-37</v>
      </c>
      <c r="K189" s="0" t="str">
        <f aca="false">"1.02"</f>
        <v>1.02</v>
      </c>
      <c r="L189" s="0" t="str">
        <f aca="false">"9.01"</f>
        <v>9.01</v>
      </c>
      <c r="M189" s="0" t="str">
        <f aca="false">"123.0"</f>
        <v>123.0</v>
      </c>
    </row>
    <row r="190" customFormat="false" ht="12.8" hidden="false" customHeight="false" outlineLevel="0" collapsed="false">
      <c r="A190" s="0" t="s">
        <v>1055</v>
      </c>
      <c r="B190" s="0" t="s">
        <v>9</v>
      </c>
      <c r="C190" s="0" t="str">
        <f aca="false">"618-629"</f>
        <v>618-629</v>
      </c>
      <c r="D190" s="0" t="s">
        <v>9</v>
      </c>
      <c r="E190" s="0" t="str">
        <f aca="false">"673-684"</f>
        <v>673-684</v>
      </c>
      <c r="F190" s="0" t="s">
        <v>1244</v>
      </c>
      <c r="G190" s="0" t="s">
        <v>9</v>
      </c>
      <c r="H190" s="0" t="str">
        <f aca="false">"137-148"</f>
        <v>137-148</v>
      </c>
      <c r="I190" s="0" t="s">
        <v>9</v>
      </c>
      <c r="J190" s="0" t="str">
        <f aca="false">"255-266"</f>
        <v>255-266</v>
      </c>
      <c r="K190" s="0" t="str">
        <f aca="false">"0.85"</f>
        <v>0.85</v>
      </c>
      <c r="L190" s="0" t="str">
        <f aca="false">"8.80"</f>
        <v>8.80</v>
      </c>
      <c r="M190" s="0" t="str">
        <f aca="false">"142.7"</f>
        <v>142.7</v>
      </c>
    </row>
    <row r="191" customFormat="false" ht="12.8" hidden="false" customHeight="false" outlineLevel="0" collapsed="false">
      <c r="A191" s="0" t="s">
        <v>1055</v>
      </c>
      <c r="B191" s="0" t="s">
        <v>9</v>
      </c>
      <c r="C191" s="0" t="str">
        <f aca="false">"618-629"</f>
        <v>618-629</v>
      </c>
      <c r="D191" s="0" t="s">
        <v>9</v>
      </c>
      <c r="E191" s="0" t="str">
        <f aca="false">"673-684"</f>
        <v>673-684</v>
      </c>
      <c r="F191" s="0" t="s">
        <v>1245</v>
      </c>
      <c r="G191" s="0" t="s">
        <v>9</v>
      </c>
      <c r="H191" s="0" t="str">
        <f aca="false">"9-20"</f>
        <v>9-20</v>
      </c>
      <c r="I191" s="0" t="s">
        <v>9</v>
      </c>
      <c r="J191" s="0" t="str">
        <f aca="false">"39-50"</f>
        <v>39-50</v>
      </c>
      <c r="K191" s="0" t="str">
        <f aca="false">"0.53"</f>
        <v>0.53</v>
      </c>
      <c r="L191" s="0" t="str">
        <f aca="false">"8.90"</f>
        <v>8.90</v>
      </c>
      <c r="M191" s="0" t="str">
        <f aca="false">"132.5"</f>
        <v>132.5</v>
      </c>
    </row>
    <row r="192" customFormat="false" ht="12.8" hidden="false" customHeight="false" outlineLevel="0" collapsed="false">
      <c r="A192" s="0" t="s">
        <v>1055</v>
      </c>
      <c r="B192" s="0" t="s">
        <v>9</v>
      </c>
      <c r="C192" s="0" t="str">
        <f aca="false">"618-629"</f>
        <v>618-629</v>
      </c>
      <c r="D192" s="0" t="s">
        <v>9</v>
      </c>
      <c r="E192" s="0" t="str">
        <f aca="false">"673-684"</f>
        <v>673-684</v>
      </c>
      <c r="F192" s="0" t="s">
        <v>1246</v>
      </c>
      <c r="G192" s="0" t="s">
        <v>13</v>
      </c>
      <c r="H192" s="0" t="str">
        <f aca="false">"187-198"</f>
        <v>187-198</v>
      </c>
      <c r="I192" s="0" t="s">
        <v>13</v>
      </c>
      <c r="J192" s="0" t="str">
        <f aca="false">"89-100"</f>
        <v>89-100</v>
      </c>
      <c r="K192" s="0" t="str">
        <f aca="false">"1.01"</f>
        <v>1.01</v>
      </c>
      <c r="L192" s="0" t="str">
        <f aca="false">"9.41"</f>
        <v>9.41</v>
      </c>
      <c r="M192" s="0" t="str">
        <f aca="false">"135.0"</f>
        <v>135.0</v>
      </c>
    </row>
    <row r="193" customFormat="false" ht="12.8" hidden="false" customHeight="false" outlineLevel="0" collapsed="false">
      <c r="A193" s="0" t="s">
        <v>1055</v>
      </c>
      <c r="B193" s="0" t="s">
        <v>9</v>
      </c>
      <c r="C193" s="0" t="str">
        <f aca="false">"618-629"</f>
        <v>618-629</v>
      </c>
      <c r="D193" s="0" t="s">
        <v>9</v>
      </c>
      <c r="E193" s="0" t="str">
        <f aca="false">"673-684"</f>
        <v>673-684</v>
      </c>
      <c r="F193" s="0" t="s">
        <v>1247</v>
      </c>
      <c r="G193" s="0" t="s">
        <v>9</v>
      </c>
      <c r="H193" s="0" t="str">
        <f aca="false">"233-244"</f>
        <v>233-244</v>
      </c>
      <c r="I193" s="0" t="s">
        <v>9</v>
      </c>
      <c r="J193" s="0" t="str">
        <f aca="false">"204-215"</f>
        <v>204-215</v>
      </c>
      <c r="K193" s="0" t="str">
        <f aca="false">"0.63"</f>
        <v>0.63</v>
      </c>
      <c r="L193" s="0" t="str">
        <f aca="false">"9.93"</f>
        <v>9.93</v>
      </c>
      <c r="M193" s="0" t="str">
        <f aca="false">"132.1"</f>
        <v>132.1</v>
      </c>
    </row>
    <row r="194" customFormat="false" ht="12.8" hidden="false" customHeight="false" outlineLevel="0" collapsed="false">
      <c r="A194" s="0" t="s">
        <v>1055</v>
      </c>
      <c r="B194" s="0" t="s">
        <v>9</v>
      </c>
      <c r="C194" s="0" t="str">
        <f aca="false">"618-629"</f>
        <v>618-629</v>
      </c>
      <c r="D194" s="0" t="s">
        <v>9</v>
      </c>
      <c r="E194" s="0" t="str">
        <f aca="false">"674-685"</f>
        <v>674-685</v>
      </c>
      <c r="F194" s="0" t="s">
        <v>1248</v>
      </c>
      <c r="G194" s="0" t="s">
        <v>9</v>
      </c>
      <c r="H194" s="0" t="str">
        <f aca="false">"30-41"</f>
        <v>30-41</v>
      </c>
      <c r="I194" s="0" t="s">
        <v>9</v>
      </c>
      <c r="J194" s="0" t="str">
        <f aca="false">"119-130"</f>
        <v>119-130</v>
      </c>
      <c r="K194" s="0" t="str">
        <f aca="false">"1.12"</f>
        <v>1.12</v>
      </c>
      <c r="L194" s="0" t="str">
        <f aca="false">"9.52"</f>
        <v>9.52</v>
      </c>
      <c r="M194" s="0" t="str">
        <f aca="false">"138.4"</f>
        <v>138.4</v>
      </c>
    </row>
    <row r="195" customFormat="false" ht="12.8" hidden="false" customHeight="false" outlineLevel="0" collapsed="false">
      <c r="A195" s="0" t="s">
        <v>1055</v>
      </c>
      <c r="B195" s="0" t="s">
        <v>9</v>
      </c>
      <c r="C195" s="0" t="str">
        <f aca="false">"613-624"</f>
        <v>613-624</v>
      </c>
      <c r="D195" s="0" t="s">
        <v>9</v>
      </c>
      <c r="E195" s="0" t="str">
        <f aca="false">"677-688"</f>
        <v>677-688</v>
      </c>
      <c r="F195" s="0" t="s">
        <v>1249</v>
      </c>
      <c r="G195" s="0" t="s">
        <v>9</v>
      </c>
      <c r="H195" s="0" t="str">
        <f aca="false">"130-141"</f>
        <v>130-141</v>
      </c>
      <c r="I195" s="0" t="s">
        <v>9</v>
      </c>
      <c r="J195" s="0" t="str">
        <f aca="false">"145-156"</f>
        <v>145-156</v>
      </c>
      <c r="K195" s="0" t="str">
        <f aca="false">"1.05"</f>
        <v>1.05</v>
      </c>
      <c r="L195" s="0" t="str">
        <f aca="false">"11.56"</f>
        <v>11.56</v>
      </c>
      <c r="M195" s="0" t="str">
        <f aca="false">"143.3"</f>
        <v>143.3</v>
      </c>
    </row>
    <row r="196" customFormat="false" ht="12.8" hidden="false" customHeight="false" outlineLevel="0" collapsed="false">
      <c r="A196" s="0" t="s">
        <v>1055</v>
      </c>
      <c r="B196" s="0" t="s">
        <v>9</v>
      </c>
      <c r="C196" s="0" t="str">
        <f aca="false">"614-625"</f>
        <v>614-625</v>
      </c>
      <c r="D196" s="0" t="s">
        <v>9</v>
      </c>
      <c r="E196" s="0" t="str">
        <f aca="false">"676-687"</f>
        <v>676-687</v>
      </c>
      <c r="F196" s="0" t="s">
        <v>1250</v>
      </c>
      <c r="G196" s="0" t="s">
        <v>9</v>
      </c>
      <c r="H196" s="0" t="str">
        <f aca="false">"237-248"</f>
        <v>237-248</v>
      </c>
      <c r="I196" s="0" t="s">
        <v>9</v>
      </c>
      <c r="J196" s="0" t="str">
        <f aca="false">"188-199"</f>
        <v>188-199</v>
      </c>
      <c r="K196" s="0" t="str">
        <f aca="false">"1.21"</f>
        <v>1.21</v>
      </c>
      <c r="L196" s="0" t="str">
        <f aca="false">"11.35"</f>
        <v>11.35</v>
      </c>
      <c r="M196" s="0" t="str">
        <f aca="false">"136.6"</f>
        <v>136.6</v>
      </c>
    </row>
    <row r="197" customFormat="false" ht="12.8" hidden="false" customHeight="false" outlineLevel="0" collapsed="false">
      <c r="A197" s="0" t="s">
        <v>1055</v>
      </c>
      <c r="B197" s="0" t="s">
        <v>9</v>
      </c>
      <c r="C197" s="0" t="str">
        <f aca="false">"618-629"</f>
        <v>618-629</v>
      </c>
      <c r="D197" s="0" t="s">
        <v>9</v>
      </c>
      <c r="E197" s="0" t="str">
        <f aca="false">"673-684"</f>
        <v>673-684</v>
      </c>
      <c r="F197" s="0" t="s">
        <v>1251</v>
      </c>
      <c r="G197" s="0" t="s">
        <v>9</v>
      </c>
      <c r="H197" s="0" t="str">
        <f aca="false">"47-58"</f>
        <v>47-58</v>
      </c>
      <c r="I197" s="0" t="s">
        <v>9</v>
      </c>
      <c r="J197" s="0" t="str">
        <f aca="false">"27-38"</f>
        <v>27-38</v>
      </c>
      <c r="K197" s="0" t="str">
        <f aca="false">"1.23"</f>
        <v>1.23</v>
      </c>
      <c r="L197" s="0" t="str">
        <f aca="false">"10.06"</f>
        <v>10.06</v>
      </c>
      <c r="M197" s="0" t="str">
        <f aca="false">"155.2"</f>
        <v>155.2</v>
      </c>
    </row>
    <row r="198" customFormat="false" ht="12.8" hidden="false" customHeight="false" outlineLevel="0" collapsed="false">
      <c r="A198" s="0" t="s">
        <v>1055</v>
      </c>
      <c r="B198" s="0" t="s">
        <v>9</v>
      </c>
      <c r="C198" s="0" t="str">
        <f aca="false">"618-629"</f>
        <v>618-629</v>
      </c>
      <c r="D198" s="0" t="s">
        <v>9</v>
      </c>
      <c r="E198" s="0" t="str">
        <f aca="false">"673-684"</f>
        <v>673-684</v>
      </c>
      <c r="F198" s="0" t="s">
        <v>1252</v>
      </c>
      <c r="G198" s="0" t="s">
        <v>9</v>
      </c>
      <c r="H198" s="0" t="str">
        <f aca="false">"109-120"</f>
        <v>109-120</v>
      </c>
      <c r="I198" s="0" t="s">
        <v>9</v>
      </c>
      <c r="J198" s="0" t="str">
        <f aca="false">"138-149"</f>
        <v>138-149</v>
      </c>
      <c r="K198" s="0" t="str">
        <f aca="false">"1.14"</f>
        <v>1.14</v>
      </c>
      <c r="L198" s="0" t="str">
        <f aca="false">"10.07"</f>
        <v>10.07</v>
      </c>
      <c r="M198" s="0" t="str">
        <f aca="false">"150.8"</f>
        <v>150.8</v>
      </c>
    </row>
    <row r="199" customFormat="false" ht="12.8" hidden="false" customHeight="false" outlineLevel="0" collapsed="false">
      <c r="A199" s="0" t="s">
        <v>1055</v>
      </c>
      <c r="B199" s="0" t="s">
        <v>9</v>
      </c>
      <c r="C199" s="0" t="str">
        <f aca="false">"617-628"</f>
        <v>617-628</v>
      </c>
      <c r="D199" s="0" t="s">
        <v>9</v>
      </c>
      <c r="E199" s="0" t="str">
        <f aca="false">"677-688"</f>
        <v>677-688</v>
      </c>
      <c r="F199" s="0" t="s">
        <v>1253</v>
      </c>
      <c r="G199" s="0" t="s">
        <v>9</v>
      </c>
      <c r="H199" s="0" t="str">
        <f aca="false">"230-241"</f>
        <v>230-241</v>
      </c>
      <c r="I199" s="0" t="s">
        <v>9</v>
      </c>
      <c r="J199" s="0" t="str">
        <f aca="false">"262-273"</f>
        <v>262-273</v>
      </c>
      <c r="K199" s="0" t="str">
        <f aca="false">"0.96"</f>
        <v>0.96</v>
      </c>
      <c r="L199" s="0" t="str">
        <f aca="false">"10.07"</f>
        <v>10.07</v>
      </c>
      <c r="M199" s="0" t="str">
        <f aca="false">"141.2"</f>
        <v>141.2</v>
      </c>
    </row>
    <row r="200" customFormat="false" ht="12.8" hidden="false" customHeight="false" outlineLevel="0" collapsed="false">
      <c r="A200" s="0" t="s">
        <v>1055</v>
      </c>
      <c r="B200" s="0" t="s">
        <v>9</v>
      </c>
      <c r="C200" s="0" t="str">
        <f aca="false">"618-629"</f>
        <v>618-629</v>
      </c>
      <c r="D200" s="0" t="s">
        <v>9</v>
      </c>
      <c r="E200" s="0" t="str">
        <f aca="false">"673-684"</f>
        <v>673-684</v>
      </c>
      <c r="F200" s="0" t="s">
        <v>1254</v>
      </c>
      <c r="G200" s="0" t="s">
        <v>9</v>
      </c>
      <c r="H200" s="0" t="str">
        <f aca="false">"127-138"</f>
        <v>127-138</v>
      </c>
      <c r="I200" s="0" t="s">
        <v>9</v>
      </c>
      <c r="J200" s="0" t="str">
        <f aca="false">"155-166"</f>
        <v>155-166</v>
      </c>
      <c r="K200" s="0" t="str">
        <f aca="false">"1.18"</f>
        <v>1.18</v>
      </c>
      <c r="L200" s="0" t="str">
        <f aca="false">"10.47"</f>
        <v>10.47</v>
      </c>
      <c r="M200" s="0" t="str">
        <f aca="false">"151.6"</f>
        <v>151.6</v>
      </c>
    </row>
    <row r="201" customFormat="false" ht="12.8" hidden="false" customHeight="false" outlineLevel="0" collapsed="false">
      <c r="A201" s="0" t="s">
        <v>1055</v>
      </c>
      <c r="B201" s="0" t="s">
        <v>9</v>
      </c>
      <c r="C201" s="0" t="str">
        <f aca="false">"617-628"</f>
        <v>617-628</v>
      </c>
      <c r="D201" s="0" t="s">
        <v>9</v>
      </c>
      <c r="E201" s="0" t="str">
        <f aca="false">"676-687"</f>
        <v>676-687</v>
      </c>
      <c r="F201" s="0" t="s">
        <v>1255</v>
      </c>
      <c r="G201" s="0" t="s">
        <v>13</v>
      </c>
      <c r="H201" s="0" t="str">
        <f aca="false">"89-100"</f>
        <v>89-100</v>
      </c>
      <c r="I201" s="0" t="s">
        <v>9</v>
      </c>
      <c r="J201" s="0" t="str">
        <f aca="false">"48-59"</f>
        <v>48-59</v>
      </c>
      <c r="K201" s="0" t="str">
        <f aca="false">"0.79"</f>
        <v>0.79</v>
      </c>
      <c r="L201" s="0" t="str">
        <f aca="false">"9.96"</f>
        <v>9.96</v>
      </c>
      <c r="M201" s="0" t="str">
        <f aca="false">"125.9"</f>
        <v>125.9</v>
      </c>
    </row>
    <row r="202" customFormat="false" ht="12.8" hidden="false" customHeight="false" outlineLevel="0" collapsed="false">
      <c r="A202" s="0" t="s">
        <v>1055</v>
      </c>
      <c r="B202" s="0" t="s">
        <v>9</v>
      </c>
      <c r="C202" s="0" t="str">
        <f aca="false">"615-626"</f>
        <v>615-626</v>
      </c>
      <c r="D202" s="0" t="s">
        <v>9</v>
      </c>
      <c r="E202" s="0" t="str">
        <f aca="false">"676-687"</f>
        <v>676-687</v>
      </c>
      <c r="F202" s="0" t="s">
        <v>1256</v>
      </c>
      <c r="G202" s="0" t="s">
        <v>9</v>
      </c>
      <c r="H202" s="0" t="str">
        <f aca="false">"261-272"</f>
        <v>261-272</v>
      </c>
      <c r="I202" s="0" t="s">
        <v>9</v>
      </c>
      <c r="J202" s="0" t="str">
        <f aca="false">"227-238"</f>
        <v>227-238</v>
      </c>
      <c r="K202" s="0" t="str">
        <f aca="false">"1.22"</f>
        <v>1.22</v>
      </c>
      <c r="L202" s="0" t="str">
        <f aca="false">"10.38"</f>
        <v>10.38</v>
      </c>
      <c r="M202" s="0" t="str">
        <f aca="false">"139.9"</f>
        <v>139.9</v>
      </c>
    </row>
    <row r="203" customFormat="false" ht="12.8" hidden="false" customHeight="false" outlineLevel="0" collapsed="false">
      <c r="A203" s="0" t="s">
        <v>1055</v>
      </c>
      <c r="B203" s="0" t="s">
        <v>9</v>
      </c>
      <c r="C203" s="0" t="str">
        <f aca="false">"615-626"</f>
        <v>615-626</v>
      </c>
      <c r="D203" s="0" t="s">
        <v>9</v>
      </c>
      <c r="E203" s="0" t="str">
        <f aca="false">"676-687"</f>
        <v>676-687</v>
      </c>
      <c r="F203" s="0" t="s">
        <v>1257</v>
      </c>
      <c r="G203" s="0" t="s">
        <v>13</v>
      </c>
      <c r="H203" s="0" t="str">
        <f aca="false">"266-277"</f>
        <v>266-277</v>
      </c>
      <c r="I203" s="0" t="s">
        <v>13</v>
      </c>
      <c r="J203" s="0" t="str">
        <f aca="false">"352-363"</f>
        <v>352-363</v>
      </c>
      <c r="K203" s="0" t="str">
        <f aca="false">"1.16"</f>
        <v>1.16</v>
      </c>
      <c r="L203" s="0" t="str">
        <f aca="false">"10.10"</f>
        <v>10.10</v>
      </c>
      <c r="M203" s="0" t="str">
        <f aca="false">"116.0"</f>
        <v>116.0</v>
      </c>
    </row>
    <row r="204" customFormat="false" ht="12.8" hidden="false" customHeight="false" outlineLevel="0" collapsed="false">
      <c r="A204" s="0" t="s">
        <v>1055</v>
      </c>
      <c r="B204" s="0" t="s">
        <v>9</v>
      </c>
      <c r="C204" s="0" t="str">
        <f aca="false">"617-628"</f>
        <v>617-628</v>
      </c>
      <c r="D204" s="0" t="s">
        <v>9</v>
      </c>
      <c r="E204" s="0" t="str">
        <f aca="false">"676-687"</f>
        <v>676-687</v>
      </c>
      <c r="F204" s="0" t="s">
        <v>1258</v>
      </c>
      <c r="G204" s="0" t="s">
        <v>9</v>
      </c>
      <c r="H204" s="0" t="str">
        <f aca="false">"215-226"</f>
        <v>215-226</v>
      </c>
      <c r="I204" s="0" t="s">
        <v>9</v>
      </c>
      <c r="J204" s="0" t="str">
        <f aca="false">"239-250"</f>
        <v>239-250</v>
      </c>
      <c r="K204" s="0" t="str">
        <f aca="false">"1.00"</f>
        <v>1.00</v>
      </c>
      <c r="L204" s="0" t="str">
        <f aca="false">"10.82"</f>
        <v>10.82</v>
      </c>
      <c r="M204" s="0" t="str">
        <f aca="false">"136.0"</f>
        <v>136.0</v>
      </c>
    </row>
    <row r="205" customFormat="false" ht="12.8" hidden="false" customHeight="false" outlineLevel="0" collapsed="false">
      <c r="A205" s="0" t="s">
        <v>1055</v>
      </c>
      <c r="B205" s="0" t="s">
        <v>9</v>
      </c>
      <c r="C205" s="0" t="str">
        <f aca="false">"619-630"</f>
        <v>619-630</v>
      </c>
      <c r="D205" s="0" t="s">
        <v>9</v>
      </c>
      <c r="E205" s="0" t="str">
        <f aca="false">"672-683"</f>
        <v>672-683</v>
      </c>
      <c r="F205" s="0" t="s">
        <v>1259</v>
      </c>
      <c r="G205" s="0" t="s">
        <v>9</v>
      </c>
      <c r="H205" s="0" t="str">
        <f aca="false">"193-204"</f>
        <v>193-204</v>
      </c>
      <c r="I205" s="0" t="s">
        <v>9</v>
      </c>
      <c r="J205" s="0" t="str">
        <f aca="false">"229-240"</f>
        <v>229-240</v>
      </c>
      <c r="K205" s="0" t="str">
        <f aca="false">"1.05"</f>
        <v>1.05</v>
      </c>
      <c r="L205" s="0" t="str">
        <f aca="false">"8.90"</f>
        <v>8.90</v>
      </c>
      <c r="M205" s="0" t="str">
        <f aca="false">"123.6"</f>
        <v>123.6</v>
      </c>
    </row>
    <row r="206" customFormat="false" ht="12.8" hidden="false" customHeight="false" outlineLevel="0" collapsed="false">
      <c r="A206" s="0" t="s">
        <v>1055</v>
      </c>
      <c r="B206" s="0" t="s">
        <v>9</v>
      </c>
      <c r="C206" s="0" t="str">
        <f aca="false">"615-626"</f>
        <v>615-626</v>
      </c>
      <c r="D206" s="0" t="s">
        <v>9</v>
      </c>
      <c r="E206" s="0" t="str">
        <f aca="false">"676-687"</f>
        <v>676-687</v>
      </c>
      <c r="F206" s="0" t="s">
        <v>1260</v>
      </c>
      <c r="G206" s="0" t="s">
        <v>9</v>
      </c>
      <c r="H206" s="0" t="str">
        <f aca="false">"38-49"</f>
        <v>38-49</v>
      </c>
      <c r="I206" s="0" t="s">
        <v>9</v>
      </c>
      <c r="J206" s="0" t="str">
        <f aca="false">"56-67"</f>
        <v>56-67</v>
      </c>
      <c r="K206" s="0" t="str">
        <f aca="false">"1.10"</f>
        <v>1.10</v>
      </c>
      <c r="L206" s="0" t="str">
        <f aca="false">"10.67"</f>
        <v>10.67</v>
      </c>
      <c r="M206" s="0" t="str">
        <f aca="false">"126.0"</f>
        <v>126.0</v>
      </c>
    </row>
    <row r="207" customFormat="false" ht="12.8" hidden="false" customHeight="false" outlineLevel="0" collapsed="false">
      <c r="A207" s="0" t="s">
        <v>1055</v>
      </c>
      <c r="B207" s="0" t="s">
        <v>9</v>
      </c>
      <c r="C207" s="0" t="str">
        <f aca="false">"618-629"</f>
        <v>618-629</v>
      </c>
      <c r="D207" s="0" t="s">
        <v>9</v>
      </c>
      <c r="E207" s="0" t="str">
        <f aca="false">"674-685"</f>
        <v>674-685</v>
      </c>
      <c r="F207" s="0" t="s">
        <v>1261</v>
      </c>
      <c r="G207" s="0" t="s">
        <v>9</v>
      </c>
      <c r="H207" s="0" t="str">
        <f aca="false">"100-111"</f>
        <v>100-111</v>
      </c>
      <c r="I207" s="0" t="s">
        <v>9</v>
      </c>
      <c r="J207" s="0" t="str">
        <f aca="false">"30-41"</f>
        <v>30-41</v>
      </c>
      <c r="K207" s="0" t="str">
        <f aca="false">"0.74"</f>
        <v>0.74</v>
      </c>
      <c r="L207" s="0" t="str">
        <f aca="false">"8.27"</f>
        <v>8.27</v>
      </c>
      <c r="M207" s="0" t="str">
        <f aca="false">"133.1"</f>
        <v>133.1</v>
      </c>
    </row>
    <row r="208" customFormat="false" ht="12.8" hidden="false" customHeight="false" outlineLevel="0" collapsed="false">
      <c r="A208" s="0" t="s">
        <v>1055</v>
      </c>
      <c r="B208" s="0" t="s">
        <v>9</v>
      </c>
      <c r="C208" s="0" t="str">
        <f aca="false">"619-630"</f>
        <v>619-630</v>
      </c>
      <c r="D208" s="0" t="s">
        <v>9</v>
      </c>
      <c r="E208" s="0" t="str">
        <f aca="false">"673-684"</f>
        <v>673-684</v>
      </c>
      <c r="F208" s="0" t="s">
        <v>1262</v>
      </c>
      <c r="G208" s="0" t="s">
        <v>9</v>
      </c>
      <c r="H208" s="0" t="str">
        <f aca="false">"22-33"</f>
        <v>22-33</v>
      </c>
      <c r="I208" s="0" t="s">
        <v>9</v>
      </c>
      <c r="J208" s="0" t="str">
        <f aca="false">"71-82"</f>
        <v>71-82</v>
      </c>
      <c r="K208" s="0" t="str">
        <f aca="false">"0.98"</f>
        <v>0.98</v>
      </c>
      <c r="L208" s="0" t="str">
        <f aca="false">"8.87"</f>
        <v>8.87</v>
      </c>
      <c r="M208" s="0" t="str">
        <f aca="false">"137.6"</f>
        <v>137.6</v>
      </c>
    </row>
    <row r="209" customFormat="false" ht="12.8" hidden="false" customHeight="false" outlineLevel="0" collapsed="false">
      <c r="A209" s="0" t="s">
        <v>1055</v>
      </c>
      <c r="B209" s="0" t="s">
        <v>9</v>
      </c>
      <c r="C209" s="0" t="str">
        <f aca="false">"618-629"</f>
        <v>618-629</v>
      </c>
      <c r="D209" s="0" t="s">
        <v>9</v>
      </c>
      <c r="E209" s="0" t="str">
        <f aca="false">"675-686"</f>
        <v>675-686</v>
      </c>
      <c r="F209" s="0" t="s">
        <v>1263</v>
      </c>
      <c r="G209" s="0" t="s">
        <v>9</v>
      </c>
      <c r="H209" s="0" t="str">
        <f aca="false">"263-274"</f>
        <v>263-274</v>
      </c>
      <c r="I209" s="0" t="s">
        <v>9</v>
      </c>
      <c r="J209" s="0" t="str">
        <f aca="false">"351-362"</f>
        <v>351-362</v>
      </c>
      <c r="K209" s="0" t="str">
        <f aca="false">"1.16"</f>
        <v>1.16</v>
      </c>
      <c r="L209" s="0" t="str">
        <f aca="false">"9.49"</f>
        <v>9.49</v>
      </c>
      <c r="M209" s="0" t="str">
        <f aca="false">"126.4"</f>
        <v>126.4</v>
      </c>
    </row>
    <row r="210" customFormat="false" ht="12.8" hidden="false" customHeight="false" outlineLevel="0" collapsed="false">
      <c r="A210" s="0" t="s">
        <v>1055</v>
      </c>
      <c r="B210" s="0" t="s">
        <v>9</v>
      </c>
      <c r="C210" s="0" t="str">
        <f aca="false">"621-632"</f>
        <v>621-632</v>
      </c>
      <c r="D210" s="0" t="s">
        <v>9</v>
      </c>
      <c r="E210" s="0" t="str">
        <f aca="false">"672-683"</f>
        <v>672-683</v>
      </c>
      <c r="F210" s="0" t="s">
        <v>1264</v>
      </c>
      <c r="G210" s="0" t="s">
        <v>9</v>
      </c>
      <c r="H210" s="0" t="str">
        <f aca="false">"104-115"</f>
        <v>104-115</v>
      </c>
      <c r="I210" s="0" t="s">
        <v>9</v>
      </c>
      <c r="J210" s="0" t="str">
        <f aca="false">"14-25"</f>
        <v>14-25</v>
      </c>
      <c r="K210" s="0" t="str">
        <f aca="false">"1.15"</f>
        <v>1.15</v>
      </c>
      <c r="L210" s="0" t="str">
        <f aca="false">"8.47"</f>
        <v>8.47</v>
      </c>
      <c r="M210" s="0" t="str">
        <f aca="false">"126.2"</f>
        <v>126.2</v>
      </c>
    </row>
    <row r="211" customFormat="false" ht="12.8" hidden="false" customHeight="false" outlineLevel="0" collapsed="false">
      <c r="A211" s="0" t="s">
        <v>1055</v>
      </c>
      <c r="B211" s="0" t="s">
        <v>9</v>
      </c>
      <c r="C211" s="0" t="str">
        <f aca="false">"617-628"</f>
        <v>617-628</v>
      </c>
      <c r="D211" s="0" t="s">
        <v>9</v>
      </c>
      <c r="E211" s="0" t="str">
        <f aca="false">"675-686"</f>
        <v>675-686</v>
      </c>
      <c r="F211" s="0" t="s">
        <v>1265</v>
      </c>
      <c r="G211" s="0" t="s">
        <v>9</v>
      </c>
      <c r="H211" s="0" t="str">
        <f aca="false">"128-139"</f>
        <v>128-139</v>
      </c>
      <c r="I211" s="0" t="s">
        <v>9</v>
      </c>
      <c r="J211" s="0" t="str">
        <f aca="false">"222-233"</f>
        <v>222-233</v>
      </c>
      <c r="K211" s="0" t="str">
        <f aca="false">"0.90"</f>
        <v>0.90</v>
      </c>
      <c r="L211" s="0" t="str">
        <f aca="false">"8.12"</f>
        <v>8.12</v>
      </c>
      <c r="M211" s="0" t="str">
        <f aca="false">"137.0"</f>
        <v>137.0</v>
      </c>
    </row>
    <row r="212" customFormat="false" ht="12.8" hidden="false" customHeight="false" outlineLevel="0" collapsed="false">
      <c r="A212" s="0" t="s">
        <v>1055</v>
      </c>
      <c r="B212" s="0" t="s">
        <v>9</v>
      </c>
      <c r="C212" s="0" t="str">
        <f aca="false">"618-629"</f>
        <v>618-629</v>
      </c>
      <c r="D212" s="0" t="s">
        <v>9</v>
      </c>
      <c r="E212" s="0" t="str">
        <f aca="false">"673-684"</f>
        <v>673-684</v>
      </c>
      <c r="F212" s="0" t="s">
        <v>1266</v>
      </c>
      <c r="G212" s="0" t="s">
        <v>13</v>
      </c>
      <c r="H212" s="0" t="str">
        <f aca="false">"225-236"</f>
        <v>225-236</v>
      </c>
      <c r="I212" s="0" t="s">
        <v>13</v>
      </c>
      <c r="J212" s="0" t="str">
        <f aca="false">"314-325"</f>
        <v>314-325</v>
      </c>
      <c r="K212" s="0" t="str">
        <f aca="false">"0.97"</f>
        <v>0.97</v>
      </c>
      <c r="L212" s="0" t="str">
        <f aca="false">"8.88"</f>
        <v>8.88</v>
      </c>
      <c r="M212" s="0" t="str">
        <f aca="false">"142.7"</f>
        <v>142.7</v>
      </c>
    </row>
    <row r="213" customFormat="false" ht="12.8" hidden="false" customHeight="false" outlineLevel="0" collapsed="false">
      <c r="A213" s="0" t="s">
        <v>1055</v>
      </c>
      <c r="B213" s="0" t="s">
        <v>9</v>
      </c>
      <c r="C213" s="0" t="str">
        <f aca="false">"615-626"</f>
        <v>615-626</v>
      </c>
      <c r="D213" s="0" t="s">
        <v>9</v>
      </c>
      <c r="E213" s="0" t="str">
        <f aca="false">"675-686"</f>
        <v>675-686</v>
      </c>
      <c r="F213" s="0" t="s">
        <v>1267</v>
      </c>
      <c r="G213" s="0" t="s">
        <v>9</v>
      </c>
      <c r="H213" s="0" t="str">
        <f aca="false">"217-228"</f>
        <v>217-228</v>
      </c>
      <c r="I213" s="0" t="s">
        <v>9</v>
      </c>
      <c r="J213" s="0" t="str">
        <f aca="false">"200-211"</f>
        <v>200-211</v>
      </c>
      <c r="K213" s="0" t="str">
        <f aca="false">"1.16"</f>
        <v>1.16</v>
      </c>
      <c r="L213" s="0" t="str">
        <f aca="false">"10.61"</f>
        <v>10.61</v>
      </c>
      <c r="M213" s="0" t="str">
        <f aca="false">"157.2"</f>
        <v>157.2</v>
      </c>
    </row>
    <row r="214" customFormat="false" ht="12.8" hidden="false" customHeight="false" outlineLevel="0" collapsed="false">
      <c r="A214" s="0" t="s">
        <v>1055</v>
      </c>
      <c r="B214" s="0" t="s">
        <v>9</v>
      </c>
      <c r="C214" s="0" t="str">
        <f aca="false">"617-628"</f>
        <v>617-628</v>
      </c>
      <c r="D214" s="0" t="s">
        <v>9</v>
      </c>
      <c r="E214" s="0" t="str">
        <f aca="false">"673-684"</f>
        <v>673-684</v>
      </c>
      <c r="F214" s="0" t="s">
        <v>1268</v>
      </c>
      <c r="G214" s="0" t="s">
        <v>9</v>
      </c>
      <c r="H214" s="0" t="str">
        <f aca="false">"38-49"</f>
        <v>38-49</v>
      </c>
      <c r="I214" s="0" t="s">
        <v>9</v>
      </c>
      <c r="J214" s="0" t="str">
        <f aca="false">"226-237"</f>
        <v>226-237</v>
      </c>
      <c r="K214" s="0" t="str">
        <f aca="false">"1.17"</f>
        <v>1.17</v>
      </c>
      <c r="L214" s="0" t="str">
        <f aca="false">"11.84"</f>
        <v>11.84</v>
      </c>
      <c r="M214" s="0" t="str">
        <f aca="false">"132.5"</f>
        <v>132.5</v>
      </c>
    </row>
    <row r="215" customFormat="false" ht="12.8" hidden="false" customHeight="false" outlineLevel="0" collapsed="false">
      <c r="A215" s="0" t="s">
        <v>1055</v>
      </c>
      <c r="B215" s="0" t="s">
        <v>9</v>
      </c>
      <c r="C215" s="0" t="str">
        <f aca="false">"615-626"</f>
        <v>615-626</v>
      </c>
      <c r="D215" s="0" t="s">
        <v>9</v>
      </c>
      <c r="E215" s="0" t="str">
        <f aca="false">"673-684"</f>
        <v>673-684</v>
      </c>
      <c r="F215" s="0" t="s">
        <v>1269</v>
      </c>
      <c r="G215" s="0" t="s">
        <v>9</v>
      </c>
      <c r="H215" s="0" t="str">
        <f aca="false">"97-108"</f>
        <v>97-108</v>
      </c>
      <c r="I215" s="0" t="s">
        <v>9</v>
      </c>
      <c r="J215" s="0" t="str">
        <f aca="false">"317-328"</f>
        <v>317-328</v>
      </c>
      <c r="K215" s="0" t="str">
        <f aca="false">"1.05"</f>
        <v>1.05</v>
      </c>
      <c r="L215" s="0" t="str">
        <f aca="false">"10.67"</f>
        <v>10.67</v>
      </c>
      <c r="M215" s="0" t="str">
        <f aca="false">"130.5"</f>
        <v>130.5</v>
      </c>
    </row>
    <row r="216" customFormat="false" ht="12.8" hidden="false" customHeight="false" outlineLevel="0" collapsed="false">
      <c r="A216" s="0" t="s">
        <v>1055</v>
      </c>
      <c r="B216" s="0" t="s">
        <v>9</v>
      </c>
      <c r="C216" s="0" t="str">
        <f aca="false">"617-628"</f>
        <v>617-628</v>
      </c>
      <c r="D216" s="0" t="s">
        <v>9</v>
      </c>
      <c r="E216" s="0" t="str">
        <f aca="false">"675-686"</f>
        <v>675-686</v>
      </c>
      <c r="F216" s="0" t="s">
        <v>1270</v>
      </c>
      <c r="G216" s="0" t="s">
        <v>13</v>
      </c>
      <c r="H216" s="0" t="str">
        <f aca="false">"320-331"</f>
        <v>320-331</v>
      </c>
      <c r="I216" s="0" t="s">
        <v>9</v>
      </c>
      <c r="J216" s="0" t="str">
        <f aca="false">"262-273"</f>
        <v>262-273</v>
      </c>
      <c r="K216" s="0" t="str">
        <f aca="false">"1.21"</f>
        <v>1.21</v>
      </c>
      <c r="L216" s="0" t="str">
        <f aca="false">"9.12"</f>
        <v>9.12</v>
      </c>
      <c r="M216" s="0" t="str">
        <f aca="false">"121.9"</f>
        <v>121.9</v>
      </c>
    </row>
    <row r="217" customFormat="false" ht="12.8" hidden="false" customHeight="false" outlineLevel="0" collapsed="false">
      <c r="A217" s="0" t="s">
        <v>1055</v>
      </c>
      <c r="B217" s="0" t="s">
        <v>9</v>
      </c>
      <c r="C217" s="0" t="str">
        <f aca="false">"617-628"</f>
        <v>617-628</v>
      </c>
      <c r="D217" s="0" t="s">
        <v>9</v>
      </c>
      <c r="E217" s="0" t="str">
        <f aca="false">"676-687"</f>
        <v>676-687</v>
      </c>
      <c r="F217" s="0" t="s">
        <v>1271</v>
      </c>
      <c r="G217" s="0" t="s">
        <v>9</v>
      </c>
      <c r="H217" s="0" t="str">
        <f aca="false">"13-24"</f>
        <v>13-24</v>
      </c>
      <c r="I217" s="0" t="s">
        <v>9</v>
      </c>
      <c r="J217" s="0" t="str">
        <f aca="false">"79-90"</f>
        <v>79-90</v>
      </c>
      <c r="K217" s="0" t="str">
        <f aca="false">"0.79"</f>
        <v>0.79</v>
      </c>
      <c r="L217" s="0" t="str">
        <f aca="false">"9.43"</f>
        <v>9.43</v>
      </c>
      <c r="M217" s="0" t="str">
        <f aca="false">"143.3"</f>
        <v>143.3</v>
      </c>
    </row>
    <row r="218" customFormat="false" ht="12.8" hidden="false" customHeight="false" outlineLevel="0" collapsed="false">
      <c r="A218" s="0" t="s">
        <v>1055</v>
      </c>
      <c r="B218" s="0" t="s">
        <v>9</v>
      </c>
      <c r="C218" s="0" t="str">
        <f aca="false">"618-629"</f>
        <v>618-629</v>
      </c>
      <c r="D218" s="0" t="s">
        <v>9</v>
      </c>
      <c r="E218" s="0" t="str">
        <f aca="false">"676-687"</f>
        <v>676-687</v>
      </c>
      <c r="F218" s="0" t="s">
        <v>1272</v>
      </c>
      <c r="G218" s="0" t="s">
        <v>9</v>
      </c>
      <c r="H218" s="0" t="str">
        <f aca="false">"101-112"</f>
        <v>101-112</v>
      </c>
      <c r="I218" s="0" t="s">
        <v>9</v>
      </c>
      <c r="J218" s="0" t="str">
        <f aca="false">"72-83"</f>
        <v>72-83</v>
      </c>
      <c r="K218" s="0" t="str">
        <f aca="false">"0.86"</f>
        <v>0.86</v>
      </c>
      <c r="L218" s="0" t="str">
        <f aca="false">"9.60"</f>
        <v>9.60</v>
      </c>
      <c r="M218" s="0" t="str">
        <f aca="false">"132.7"</f>
        <v>132.7</v>
      </c>
    </row>
    <row r="219" customFormat="false" ht="12.8" hidden="false" customHeight="false" outlineLevel="0" collapsed="false">
      <c r="A219" s="0" t="s">
        <v>1055</v>
      </c>
      <c r="B219" s="0" t="s">
        <v>9</v>
      </c>
      <c r="C219" s="0" t="str">
        <f aca="false">"618-629"</f>
        <v>618-629</v>
      </c>
      <c r="D219" s="0" t="s">
        <v>9</v>
      </c>
      <c r="E219" s="0" t="str">
        <f aca="false">"676-687"</f>
        <v>676-687</v>
      </c>
      <c r="F219" s="0" t="s">
        <v>1273</v>
      </c>
      <c r="G219" s="0" t="s">
        <v>9</v>
      </c>
      <c r="H219" s="0" t="str">
        <f aca="false">"155-166"</f>
        <v>155-166</v>
      </c>
      <c r="I219" s="0" t="s">
        <v>9</v>
      </c>
      <c r="J219" s="0" t="str">
        <f aca="false">"10-21"</f>
        <v>10-21</v>
      </c>
      <c r="K219" s="0" t="str">
        <f aca="false">"0.70"</f>
        <v>0.70</v>
      </c>
      <c r="L219" s="0" t="str">
        <f aca="false">"8.98"</f>
        <v>8.98</v>
      </c>
      <c r="M219" s="0" t="str">
        <f aca="false">"138.3"</f>
        <v>138.3</v>
      </c>
    </row>
    <row r="220" customFormat="false" ht="12.8" hidden="false" customHeight="false" outlineLevel="0" collapsed="false">
      <c r="A220" s="0" t="s">
        <v>1055</v>
      </c>
      <c r="B220" s="0" t="s">
        <v>9</v>
      </c>
      <c r="C220" s="0" t="str">
        <f aca="false">"621-632"</f>
        <v>621-632</v>
      </c>
      <c r="D220" s="0" t="s">
        <v>9</v>
      </c>
      <c r="E220" s="0" t="str">
        <f aca="false">"672-683"</f>
        <v>672-683</v>
      </c>
      <c r="F220" s="0" t="s">
        <v>1274</v>
      </c>
      <c r="G220" s="0" t="s">
        <v>9</v>
      </c>
      <c r="H220" s="0" t="str">
        <f aca="false">"166-177"</f>
        <v>166-177</v>
      </c>
      <c r="I220" s="0" t="s">
        <v>9</v>
      </c>
      <c r="J220" s="0" t="str">
        <f aca="false">"244-255"</f>
        <v>244-255</v>
      </c>
      <c r="K220" s="0" t="str">
        <f aca="false">"1.03"</f>
        <v>1.03</v>
      </c>
      <c r="L220" s="0" t="str">
        <f aca="false">"8.30"</f>
        <v>8.30</v>
      </c>
      <c r="M220" s="0" t="str">
        <f aca="false">"134.2"</f>
        <v>134.2</v>
      </c>
    </row>
    <row r="221" customFormat="false" ht="12.8" hidden="false" customHeight="false" outlineLevel="0" collapsed="false">
      <c r="A221" s="0" t="s">
        <v>1055</v>
      </c>
      <c r="B221" s="0" t="s">
        <v>9</v>
      </c>
      <c r="C221" s="0" t="str">
        <f aca="false">"618-629"</f>
        <v>618-629</v>
      </c>
      <c r="D221" s="0" t="s">
        <v>9</v>
      </c>
      <c r="E221" s="0" t="str">
        <f aca="false">"676-687"</f>
        <v>676-687</v>
      </c>
      <c r="F221" s="0" t="s">
        <v>1275</v>
      </c>
      <c r="G221" s="0" t="s">
        <v>9</v>
      </c>
      <c r="H221" s="0" t="str">
        <f aca="false">"172-183"</f>
        <v>172-183</v>
      </c>
      <c r="I221" s="0" t="s">
        <v>9</v>
      </c>
      <c r="J221" s="0" t="str">
        <f aca="false">"33-44"</f>
        <v>33-44</v>
      </c>
      <c r="K221" s="0" t="str">
        <f aca="false">"1.17"</f>
        <v>1.17</v>
      </c>
      <c r="L221" s="0" t="str">
        <f aca="false">"9.05"</f>
        <v>9.05</v>
      </c>
      <c r="M221" s="0" t="str">
        <f aca="false">"136.7"</f>
        <v>136.7</v>
      </c>
    </row>
    <row r="222" customFormat="false" ht="12.8" hidden="false" customHeight="false" outlineLevel="0" collapsed="false">
      <c r="A222" s="0" t="s">
        <v>1055</v>
      </c>
      <c r="B222" s="0" t="s">
        <v>9</v>
      </c>
      <c r="C222" s="0" t="str">
        <f aca="false">"618-629"</f>
        <v>618-629</v>
      </c>
      <c r="D222" s="0" t="s">
        <v>9</v>
      </c>
      <c r="E222" s="0" t="str">
        <f aca="false">"676-687"</f>
        <v>676-687</v>
      </c>
      <c r="F222" s="0" t="s">
        <v>1276</v>
      </c>
      <c r="G222" s="0" t="s">
        <v>9</v>
      </c>
      <c r="H222" s="0" t="str">
        <f aca="false">"175-186"</f>
        <v>175-186</v>
      </c>
      <c r="I222" s="0" t="s">
        <v>9</v>
      </c>
      <c r="J222" s="0" t="str">
        <f aca="false">"25-36"</f>
        <v>25-36</v>
      </c>
      <c r="K222" s="0" t="str">
        <f aca="false">"0.88"</f>
        <v>0.88</v>
      </c>
      <c r="L222" s="0" t="str">
        <f aca="false">"8.94"</f>
        <v>8.94</v>
      </c>
      <c r="M222" s="0" t="str">
        <f aca="false">"142.4"</f>
        <v>142.4</v>
      </c>
    </row>
    <row r="223" customFormat="false" ht="12.8" hidden="false" customHeight="false" outlineLevel="0" collapsed="false">
      <c r="A223" s="0" t="s">
        <v>1055</v>
      </c>
      <c r="B223" s="0" t="s">
        <v>9</v>
      </c>
      <c r="C223" s="0" t="str">
        <f aca="false">"618-629"</f>
        <v>618-629</v>
      </c>
      <c r="D223" s="0" t="s">
        <v>9</v>
      </c>
      <c r="E223" s="0" t="str">
        <f aca="false">"676-687"</f>
        <v>676-687</v>
      </c>
      <c r="F223" s="0" t="s">
        <v>1277</v>
      </c>
      <c r="G223" s="0" t="s">
        <v>13</v>
      </c>
      <c r="H223" s="0" t="str">
        <f aca="false">"165-176"</f>
        <v>165-176</v>
      </c>
      <c r="I223" s="0" t="s">
        <v>13</v>
      </c>
      <c r="J223" s="0" t="str">
        <f aca="false">"12-23"</f>
        <v>12-23</v>
      </c>
      <c r="K223" s="0" t="str">
        <f aca="false">"0.77"</f>
        <v>0.77</v>
      </c>
      <c r="L223" s="0" t="str">
        <f aca="false">"9.53"</f>
        <v>9.53</v>
      </c>
      <c r="M223" s="0" t="str">
        <f aca="false">"135.4"</f>
        <v>135.4</v>
      </c>
    </row>
    <row r="224" customFormat="false" ht="12.8" hidden="false" customHeight="false" outlineLevel="0" collapsed="false">
      <c r="A224" s="0" t="s">
        <v>1055</v>
      </c>
      <c r="B224" s="0" t="s">
        <v>9</v>
      </c>
      <c r="C224" s="0" t="str">
        <f aca="false">"621-632"</f>
        <v>621-632</v>
      </c>
      <c r="D224" s="0" t="s">
        <v>9</v>
      </c>
      <c r="E224" s="0" t="str">
        <f aca="false">"672-683"</f>
        <v>672-683</v>
      </c>
      <c r="F224" s="0" t="s">
        <v>1278</v>
      </c>
      <c r="G224" s="0" t="s">
        <v>9</v>
      </c>
      <c r="H224" s="0" t="str">
        <f aca="false">"275-286"</f>
        <v>275-286</v>
      </c>
      <c r="I224" s="0" t="s">
        <v>9</v>
      </c>
      <c r="J224" s="0" t="str">
        <f aca="false">"240-251"</f>
        <v>240-251</v>
      </c>
      <c r="K224" s="0" t="str">
        <f aca="false">"1.11"</f>
        <v>1.11</v>
      </c>
      <c r="L224" s="0" t="str">
        <f aca="false">"8.70"</f>
        <v>8.70</v>
      </c>
      <c r="M224" s="0" t="str">
        <f aca="false">"130.6"</f>
        <v>130.6</v>
      </c>
    </row>
    <row r="225" customFormat="false" ht="12.8" hidden="false" customHeight="false" outlineLevel="0" collapsed="false">
      <c r="A225" s="0" t="s">
        <v>1055</v>
      </c>
      <c r="B225" s="0" t="s">
        <v>9</v>
      </c>
      <c r="C225" s="0" t="str">
        <f aca="false">"619-630"</f>
        <v>619-630</v>
      </c>
      <c r="D225" s="0" t="s">
        <v>9</v>
      </c>
      <c r="E225" s="0" t="str">
        <f aca="false">"672-683"</f>
        <v>672-683</v>
      </c>
      <c r="F225" s="0" t="s">
        <v>1279</v>
      </c>
      <c r="G225" s="0" t="s">
        <v>9</v>
      </c>
      <c r="H225" s="0" t="str">
        <f aca="false">"139-150"</f>
        <v>139-150</v>
      </c>
      <c r="I225" s="0" t="s">
        <v>9</v>
      </c>
      <c r="J225" s="0" t="str">
        <f aca="false">"91-102"</f>
        <v>91-102</v>
      </c>
      <c r="K225" s="0" t="str">
        <f aca="false">"1.17"</f>
        <v>1.17</v>
      </c>
      <c r="L225" s="0" t="str">
        <f aca="false">"10.10"</f>
        <v>10.10</v>
      </c>
      <c r="M225" s="0" t="str">
        <f aca="false">"123.6"</f>
        <v>123.6</v>
      </c>
    </row>
    <row r="226" customFormat="false" ht="12.8" hidden="false" customHeight="false" outlineLevel="0" collapsed="false">
      <c r="A226" s="0" t="s">
        <v>1055</v>
      </c>
      <c r="B226" s="0" t="s">
        <v>9</v>
      </c>
      <c r="C226" s="0" t="str">
        <f aca="false">"613-624"</f>
        <v>613-624</v>
      </c>
      <c r="D226" s="0" t="s">
        <v>9</v>
      </c>
      <c r="E226" s="0" t="str">
        <f aca="false">"677-688"</f>
        <v>677-688</v>
      </c>
      <c r="F226" s="0" t="s">
        <v>1280</v>
      </c>
      <c r="G226" s="0" t="s">
        <v>9</v>
      </c>
      <c r="H226" s="0" t="str">
        <f aca="false">"65-76"</f>
        <v>65-76</v>
      </c>
      <c r="I226" s="0" t="s">
        <v>9</v>
      </c>
      <c r="J226" s="0" t="str">
        <f aca="false">"80-91"</f>
        <v>80-91</v>
      </c>
      <c r="K226" s="0" t="str">
        <f aca="false">"1.15"</f>
        <v>1.15</v>
      </c>
      <c r="L226" s="0" t="str">
        <f aca="false">"10.46"</f>
        <v>10.46</v>
      </c>
      <c r="M226" s="0" t="str">
        <f aca="false">"135.3"</f>
        <v>135.3</v>
      </c>
    </row>
    <row r="227" customFormat="false" ht="12.8" hidden="false" customHeight="false" outlineLevel="0" collapsed="false">
      <c r="A227" s="0" t="s">
        <v>1055</v>
      </c>
      <c r="B227" s="0" t="s">
        <v>9</v>
      </c>
      <c r="C227" s="0" t="str">
        <f aca="false">"618-629"</f>
        <v>618-629</v>
      </c>
      <c r="D227" s="0" t="s">
        <v>9</v>
      </c>
      <c r="E227" s="0" t="str">
        <f aca="false">"676-687"</f>
        <v>676-687</v>
      </c>
      <c r="F227" s="0" t="s">
        <v>1281</v>
      </c>
      <c r="G227" s="0" t="s">
        <v>9</v>
      </c>
      <c r="H227" s="0" t="str">
        <f aca="false">"231-242"</f>
        <v>231-242</v>
      </c>
      <c r="I227" s="0" t="s">
        <v>9</v>
      </c>
      <c r="J227" s="0" t="str">
        <f aca="false">"259-270"</f>
        <v>259-270</v>
      </c>
      <c r="K227" s="0" t="str">
        <f aca="false">"1.14"</f>
        <v>1.14</v>
      </c>
      <c r="L227" s="0" t="str">
        <f aca="false">"10.52"</f>
        <v>10.52</v>
      </c>
      <c r="M227" s="0" t="str">
        <f aca="false">"135.2"</f>
        <v>135.2</v>
      </c>
    </row>
    <row r="228" customFormat="false" ht="12.8" hidden="false" customHeight="false" outlineLevel="0" collapsed="false">
      <c r="A228" s="0" t="s">
        <v>1055</v>
      </c>
      <c r="B228" s="0" t="s">
        <v>9</v>
      </c>
      <c r="C228" s="0" t="str">
        <f aca="false">"618-629"</f>
        <v>618-629</v>
      </c>
      <c r="D228" s="0" t="s">
        <v>9</v>
      </c>
      <c r="E228" s="0" t="str">
        <f aca="false">"676-687"</f>
        <v>676-687</v>
      </c>
      <c r="F228" s="0" t="s">
        <v>1282</v>
      </c>
      <c r="G228" s="0" t="s">
        <v>120</v>
      </c>
      <c r="H228" s="0" t="str">
        <f aca="false">"106-117"</f>
        <v>106-117</v>
      </c>
      <c r="I228" s="0" t="s">
        <v>120</v>
      </c>
      <c r="J228" s="0" t="str">
        <f aca="false">"89-100"</f>
        <v>89-100</v>
      </c>
      <c r="K228" s="0" t="str">
        <f aca="false">"1.10"</f>
        <v>1.10</v>
      </c>
      <c r="L228" s="0" t="str">
        <f aca="false">"10.38"</f>
        <v>10.38</v>
      </c>
      <c r="M228" s="0" t="str">
        <f aca="false">"136.9"</f>
        <v>136.9</v>
      </c>
    </row>
    <row r="229" customFormat="false" ht="12.8" hidden="false" customHeight="false" outlineLevel="0" collapsed="false">
      <c r="A229" s="0" t="s">
        <v>1055</v>
      </c>
      <c r="B229" s="0" t="s">
        <v>9</v>
      </c>
      <c r="C229" s="0" t="str">
        <f aca="false">"621-632"</f>
        <v>621-632</v>
      </c>
      <c r="D229" s="0" t="s">
        <v>9</v>
      </c>
      <c r="E229" s="0" t="str">
        <f aca="false">"672-683"</f>
        <v>672-683</v>
      </c>
      <c r="F229" s="0" t="s">
        <v>1283</v>
      </c>
      <c r="G229" s="0" t="s">
        <v>9</v>
      </c>
      <c r="H229" s="0" t="str">
        <f aca="false">"191-202"</f>
        <v>191-202</v>
      </c>
      <c r="I229" s="0" t="s">
        <v>9</v>
      </c>
      <c r="J229" s="0" t="str">
        <f aca="false">"86-97"</f>
        <v>86-97</v>
      </c>
      <c r="K229" s="0" t="str">
        <f aca="false">"0.54"</f>
        <v>0.54</v>
      </c>
      <c r="L229" s="0" t="str">
        <f aca="false">"9.36"</f>
        <v>9.36</v>
      </c>
      <c r="M229" s="0" t="str">
        <f aca="false">"137.2"</f>
        <v>137.2</v>
      </c>
    </row>
    <row r="230" customFormat="false" ht="12.8" hidden="false" customHeight="false" outlineLevel="0" collapsed="false">
      <c r="A230" s="0" t="s">
        <v>1055</v>
      </c>
      <c r="B230" s="0" t="s">
        <v>9</v>
      </c>
      <c r="C230" s="0" t="str">
        <f aca="false">"618-629"</f>
        <v>618-629</v>
      </c>
      <c r="D230" s="0" t="s">
        <v>9</v>
      </c>
      <c r="E230" s="0" t="str">
        <f aca="false">"676-687"</f>
        <v>676-687</v>
      </c>
      <c r="F230" s="0" t="s">
        <v>1284</v>
      </c>
      <c r="G230" s="0" t="s">
        <v>9</v>
      </c>
      <c r="H230" s="0" t="str">
        <f aca="false">"119-130"</f>
        <v>119-130</v>
      </c>
      <c r="I230" s="0" t="s">
        <v>9</v>
      </c>
      <c r="J230" s="0" t="str">
        <f aca="false">"148-159"</f>
        <v>148-159</v>
      </c>
      <c r="K230" s="0" t="str">
        <f aca="false">"0.75"</f>
        <v>0.75</v>
      </c>
      <c r="L230" s="0" t="str">
        <f aca="false">"9.39"</f>
        <v>9.39</v>
      </c>
      <c r="M230" s="0" t="str">
        <f aca="false">"135.9"</f>
        <v>135.9</v>
      </c>
    </row>
    <row r="231" customFormat="false" ht="12.8" hidden="false" customHeight="false" outlineLevel="0" collapsed="false">
      <c r="A231" s="0" t="s">
        <v>1055</v>
      </c>
      <c r="B231" s="0" t="s">
        <v>9</v>
      </c>
      <c r="C231" s="0" t="str">
        <f aca="false">"621-632"</f>
        <v>621-632</v>
      </c>
      <c r="D231" s="0" t="s">
        <v>9</v>
      </c>
      <c r="E231" s="0" t="str">
        <f aca="false">"672-683"</f>
        <v>672-683</v>
      </c>
      <c r="F231" s="0" t="s">
        <v>1285</v>
      </c>
      <c r="G231" s="0" t="s">
        <v>13</v>
      </c>
      <c r="H231" s="0" t="str">
        <f aca="false">"3-14"</f>
        <v>3-14</v>
      </c>
      <c r="I231" s="0" t="s">
        <v>13</v>
      </c>
      <c r="J231" s="0" t="str">
        <f aca="false">"82-93"</f>
        <v>82-93</v>
      </c>
      <c r="K231" s="0" t="str">
        <f aca="false">"0.98"</f>
        <v>0.98</v>
      </c>
      <c r="L231" s="0" t="str">
        <f aca="false">"8.50"</f>
        <v>8.50</v>
      </c>
      <c r="M231" s="0" t="str">
        <f aca="false">"133.6"</f>
        <v>133.6</v>
      </c>
    </row>
    <row r="232" customFormat="false" ht="12.8" hidden="false" customHeight="false" outlineLevel="0" collapsed="false">
      <c r="A232" s="0" t="s">
        <v>1055</v>
      </c>
      <c r="B232" s="0" t="s">
        <v>9</v>
      </c>
      <c r="C232" s="0" t="str">
        <f aca="false">"617-628"</f>
        <v>617-628</v>
      </c>
      <c r="D232" s="0" t="s">
        <v>9</v>
      </c>
      <c r="E232" s="0" t="str">
        <f aca="false">"676-687"</f>
        <v>676-687</v>
      </c>
      <c r="F232" s="0" t="s">
        <v>1286</v>
      </c>
      <c r="G232" s="0" t="s">
        <v>9</v>
      </c>
      <c r="H232" s="0" t="str">
        <f aca="false">"227-238"</f>
        <v>227-238</v>
      </c>
      <c r="I232" s="0" t="s">
        <v>13</v>
      </c>
      <c r="J232" s="0" t="str">
        <f aca="false">"258-269"</f>
        <v>258-269</v>
      </c>
      <c r="K232" s="0" t="str">
        <f aca="false">"1.09"</f>
        <v>1.09</v>
      </c>
      <c r="L232" s="0" t="str">
        <f aca="false">"9.22"</f>
        <v>9.22</v>
      </c>
      <c r="M232" s="0" t="str">
        <f aca="false">"136.8"</f>
        <v>136.8</v>
      </c>
    </row>
    <row r="233" customFormat="false" ht="12.8" hidden="false" customHeight="false" outlineLevel="0" collapsed="false">
      <c r="A233" s="0" t="s">
        <v>1055</v>
      </c>
      <c r="B233" s="0" t="s">
        <v>9</v>
      </c>
      <c r="C233" s="0" t="str">
        <f aca="false">"617-628"</f>
        <v>617-628</v>
      </c>
      <c r="D233" s="0" t="s">
        <v>9</v>
      </c>
      <c r="E233" s="0" t="str">
        <f aca="false">"676-687"</f>
        <v>676-687</v>
      </c>
      <c r="F233" s="0" t="s">
        <v>1287</v>
      </c>
      <c r="G233" s="0" t="s">
        <v>70</v>
      </c>
      <c r="H233" s="0" t="str">
        <f aca="false">"38-49"</f>
        <v>38-49</v>
      </c>
      <c r="I233" s="0" t="s">
        <v>70</v>
      </c>
      <c r="J233" s="0" t="str">
        <f aca="false">"56-67"</f>
        <v>56-67</v>
      </c>
      <c r="K233" s="0" t="str">
        <f aca="false">"1.19"</f>
        <v>1.19</v>
      </c>
      <c r="L233" s="0" t="str">
        <f aca="false">"8.80"</f>
        <v>8.80</v>
      </c>
      <c r="M233" s="0" t="str">
        <f aca="false">"144.7"</f>
        <v>144.7</v>
      </c>
    </row>
    <row r="234" customFormat="false" ht="12.8" hidden="false" customHeight="false" outlineLevel="0" collapsed="false">
      <c r="A234" s="0" t="s">
        <v>1055</v>
      </c>
      <c r="B234" s="0" t="s">
        <v>9</v>
      </c>
      <c r="C234" s="0" t="str">
        <f aca="false">"613-624"</f>
        <v>613-624</v>
      </c>
      <c r="D234" s="0" t="s">
        <v>9</v>
      </c>
      <c r="E234" s="0" t="str">
        <f aca="false">"677-688"</f>
        <v>677-688</v>
      </c>
      <c r="F234" s="0" t="s">
        <v>1288</v>
      </c>
      <c r="G234" s="0" t="s">
        <v>9</v>
      </c>
      <c r="H234" s="0" t="str">
        <f aca="false">"64-75"</f>
        <v>64-75</v>
      </c>
      <c r="I234" s="0" t="s">
        <v>9</v>
      </c>
      <c r="J234" s="0" t="str">
        <f aca="false">"79-90"</f>
        <v>79-90</v>
      </c>
      <c r="K234" s="0" t="str">
        <f aca="false">"1.11"</f>
        <v>1.11</v>
      </c>
      <c r="L234" s="0" t="str">
        <f aca="false">"11.16"</f>
        <v>11.16</v>
      </c>
      <c r="M234" s="0" t="str">
        <f aca="false">"140.2"</f>
        <v>140.2</v>
      </c>
    </row>
    <row r="235" customFormat="false" ht="12.8" hidden="false" customHeight="false" outlineLevel="0" collapsed="false">
      <c r="A235" s="0" t="s">
        <v>1055</v>
      </c>
      <c r="B235" s="0" t="s">
        <v>9</v>
      </c>
      <c r="C235" s="0" t="str">
        <f aca="false">"614-625"</f>
        <v>614-625</v>
      </c>
      <c r="D235" s="0" t="s">
        <v>9</v>
      </c>
      <c r="E235" s="0" t="str">
        <f aca="false">"672-683"</f>
        <v>672-683</v>
      </c>
      <c r="F235" s="0" t="s">
        <v>1289</v>
      </c>
      <c r="G235" s="0" t="s">
        <v>9</v>
      </c>
      <c r="H235" s="0" t="str">
        <f aca="false">"206-217"</f>
        <v>206-217</v>
      </c>
      <c r="I235" s="0" t="s">
        <v>9</v>
      </c>
      <c r="J235" s="0" t="str">
        <f aca="false">"282-293"</f>
        <v>282-293</v>
      </c>
      <c r="K235" s="0" t="str">
        <f aca="false">"1.04"</f>
        <v>1.04</v>
      </c>
      <c r="L235" s="0" t="str">
        <f aca="false">"13.46"</f>
        <v>13.46</v>
      </c>
      <c r="M235" s="0" t="str">
        <f aca="false">"148.2"</f>
        <v>148.2</v>
      </c>
    </row>
    <row r="236" customFormat="false" ht="12.8" hidden="false" customHeight="false" outlineLevel="0" collapsed="false">
      <c r="A236" s="0" t="s">
        <v>1055</v>
      </c>
      <c r="B236" s="0" t="s">
        <v>9</v>
      </c>
      <c r="C236" s="0" t="str">
        <f aca="false">"614-625"</f>
        <v>614-625</v>
      </c>
      <c r="D236" s="0" t="s">
        <v>9</v>
      </c>
      <c r="E236" s="0" t="str">
        <f aca="false">"673-684"</f>
        <v>673-684</v>
      </c>
      <c r="F236" s="0" t="s">
        <v>1290</v>
      </c>
      <c r="G236" s="0" t="s">
        <v>13</v>
      </c>
      <c r="H236" s="0" t="str">
        <f aca="false">"158-169"</f>
        <v>158-169</v>
      </c>
      <c r="I236" s="0" t="s">
        <v>13</v>
      </c>
      <c r="J236" s="0" t="str">
        <f aca="false">"264-275"</f>
        <v>264-275</v>
      </c>
      <c r="K236" s="0" t="str">
        <f aca="false">"1.03"</f>
        <v>1.03</v>
      </c>
      <c r="L236" s="0" t="str">
        <f aca="false">"12.65"</f>
        <v>12.65</v>
      </c>
      <c r="M236" s="0" t="str">
        <f aca="false">"146.0"</f>
        <v>146.0</v>
      </c>
    </row>
    <row r="237" customFormat="false" ht="12.8" hidden="false" customHeight="false" outlineLevel="0" collapsed="false">
      <c r="A237" s="0" t="s">
        <v>1055</v>
      </c>
      <c r="B237" s="0" t="s">
        <v>9</v>
      </c>
      <c r="C237" s="0" t="str">
        <f aca="false">"621-632"</f>
        <v>621-632</v>
      </c>
      <c r="D237" s="0" t="s">
        <v>9</v>
      </c>
      <c r="E237" s="0" t="str">
        <f aca="false">"672-683"</f>
        <v>672-683</v>
      </c>
      <c r="F237" s="0" t="s">
        <v>1291</v>
      </c>
      <c r="G237" s="0" t="s">
        <v>9</v>
      </c>
      <c r="H237" s="0" t="str">
        <f aca="false">"3-14"</f>
        <v>3-14</v>
      </c>
      <c r="I237" s="0" t="s">
        <v>9</v>
      </c>
      <c r="J237" s="0" t="str">
        <f aca="false">"41-52"</f>
        <v>41-52</v>
      </c>
      <c r="K237" s="0" t="str">
        <f aca="false">"1.25"</f>
        <v>1.25</v>
      </c>
      <c r="L237" s="0" t="str">
        <f aca="false">"10.06"</f>
        <v>10.06</v>
      </c>
      <c r="M237" s="0" t="str">
        <f aca="false">"117.8"</f>
        <v>117.8</v>
      </c>
    </row>
    <row r="238" customFormat="false" ht="12.8" hidden="false" customHeight="false" outlineLevel="0" collapsed="false">
      <c r="A238" s="0" t="s">
        <v>1055</v>
      </c>
      <c r="B238" s="0" t="s">
        <v>9</v>
      </c>
      <c r="C238" s="0" t="str">
        <f aca="false">"621-632"</f>
        <v>621-632</v>
      </c>
      <c r="D238" s="0" t="s">
        <v>9</v>
      </c>
      <c r="E238" s="0" t="str">
        <f aca="false">"673-684"</f>
        <v>673-684</v>
      </c>
      <c r="F238" s="0" t="s">
        <v>1292</v>
      </c>
      <c r="G238" s="0" t="s">
        <v>9</v>
      </c>
      <c r="H238" s="0" t="str">
        <f aca="false">"51-62"</f>
        <v>51-62</v>
      </c>
      <c r="I238" s="0" t="s">
        <v>9</v>
      </c>
      <c r="J238" s="0" t="str">
        <f aca="false">"86-97"</f>
        <v>86-97</v>
      </c>
      <c r="K238" s="0" t="str">
        <f aca="false">"1.25"</f>
        <v>1.25</v>
      </c>
      <c r="L238" s="0" t="str">
        <f aca="false">"9.93"</f>
        <v>9.93</v>
      </c>
      <c r="M238" s="0" t="str">
        <f aca="false">"117.3"</f>
        <v>117.3</v>
      </c>
    </row>
    <row r="239" customFormat="false" ht="12.8" hidden="false" customHeight="false" outlineLevel="0" collapsed="false">
      <c r="A239" s="0" t="s">
        <v>1055</v>
      </c>
      <c r="B239" s="0" t="s">
        <v>9</v>
      </c>
      <c r="C239" s="0" t="str">
        <f aca="false">"611-622"</f>
        <v>611-622</v>
      </c>
      <c r="D239" s="0" t="s">
        <v>9</v>
      </c>
      <c r="E239" s="0" t="str">
        <f aca="false">"673-684"</f>
        <v>673-684</v>
      </c>
      <c r="F239" s="0" t="s">
        <v>1293</v>
      </c>
      <c r="G239" s="0" t="s">
        <v>13</v>
      </c>
      <c r="H239" s="0" t="str">
        <f aca="false">"491-502"</f>
        <v>491-502</v>
      </c>
      <c r="I239" s="0" t="s">
        <v>13</v>
      </c>
      <c r="J239" s="0" t="str">
        <f aca="false">"453-464"</f>
        <v>453-464</v>
      </c>
      <c r="K239" s="0" t="str">
        <f aca="false">"1.22"</f>
        <v>1.22</v>
      </c>
      <c r="L239" s="0" t="str">
        <f aca="false">"14.62"</f>
        <v>14.62</v>
      </c>
      <c r="M239" s="0" t="str">
        <f aca="false">"117.0"</f>
        <v>117.0</v>
      </c>
    </row>
    <row r="240" customFormat="false" ht="12.8" hidden="false" customHeight="false" outlineLevel="0" collapsed="false">
      <c r="A240" s="0" t="s">
        <v>1055</v>
      </c>
      <c r="B240" s="0" t="s">
        <v>9</v>
      </c>
      <c r="C240" s="0" t="str">
        <f aca="false">"620-631"</f>
        <v>620-631</v>
      </c>
      <c r="D240" s="0" t="s">
        <v>9</v>
      </c>
      <c r="E240" s="0" t="str">
        <f aca="false">"673-684"</f>
        <v>673-684</v>
      </c>
      <c r="F240" s="0" t="s">
        <v>1294</v>
      </c>
      <c r="G240" s="0" t="s">
        <v>9</v>
      </c>
      <c r="H240" s="0" t="str">
        <f aca="false">"468-479"</f>
        <v>468-479</v>
      </c>
      <c r="I240" s="0" t="s">
        <v>9</v>
      </c>
      <c r="J240" s="0" t="str">
        <f aca="false">"588-599"</f>
        <v>588-599</v>
      </c>
      <c r="K240" s="0" t="str">
        <f aca="false">"1.16"</f>
        <v>1.16</v>
      </c>
      <c r="L240" s="0" t="str">
        <f aca="false">"8.24"</f>
        <v>8.24</v>
      </c>
      <c r="M240" s="0" t="str">
        <f aca="false">"129.7"</f>
        <v>129.7</v>
      </c>
    </row>
    <row r="241" customFormat="false" ht="12.8" hidden="false" customHeight="false" outlineLevel="0" collapsed="false">
      <c r="A241" s="0" t="s">
        <v>1055</v>
      </c>
      <c r="B241" s="0" t="s">
        <v>9</v>
      </c>
      <c r="C241" s="0" t="str">
        <f aca="false">"614-625"</f>
        <v>614-625</v>
      </c>
      <c r="D241" s="0" t="s">
        <v>9</v>
      </c>
      <c r="E241" s="0" t="str">
        <f aca="false">"673-684"</f>
        <v>673-684</v>
      </c>
      <c r="F241" s="0" t="s">
        <v>1295</v>
      </c>
      <c r="G241" s="0" t="s">
        <v>9</v>
      </c>
      <c r="H241" s="0" t="str">
        <f aca="false">"175-186"</f>
        <v>175-186</v>
      </c>
      <c r="I241" s="0" t="s">
        <v>9</v>
      </c>
      <c r="J241" s="0" t="str">
        <f aca="false">"284-295"</f>
        <v>284-295</v>
      </c>
      <c r="K241" s="0" t="str">
        <f aca="false">"1.19"</f>
        <v>1.19</v>
      </c>
      <c r="L241" s="0" t="str">
        <f aca="false">"13.15"</f>
        <v>13.15</v>
      </c>
      <c r="M241" s="0" t="str">
        <f aca="false">"141.1"</f>
        <v>141.1</v>
      </c>
    </row>
    <row r="242" customFormat="false" ht="12.8" hidden="false" customHeight="false" outlineLevel="0" collapsed="false">
      <c r="A242" s="0" t="s">
        <v>1055</v>
      </c>
      <c r="B242" s="0" t="s">
        <v>9</v>
      </c>
      <c r="C242" s="0" t="str">
        <f aca="false">"618-629"</f>
        <v>618-629</v>
      </c>
      <c r="D242" s="0" t="s">
        <v>9</v>
      </c>
      <c r="E242" s="0" t="str">
        <f aca="false">"675-686"</f>
        <v>675-686</v>
      </c>
      <c r="F242" s="0" t="s">
        <v>1296</v>
      </c>
      <c r="G242" s="0" t="s">
        <v>9</v>
      </c>
      <c r="H242" s="0" t="str">
        <f aca="false">"600-611"</f>
        <v>600-611</v>
      </c>
      <c r="I242" s="0" t="s">
        <v>9</v>
      </c>
      <c r="J242" s="0" t="str">
        <f aca="false">"688-699"</f>
        <v>688-699</v>
      </c>
      <c r="K242" s="0" t="str">
        <f aca="false">"1.10"</f>
        <v>1.10</v>
      </c>
      <c r="L242" s="0" t="str">
        <f aca="false">"9.65"</f>
        <v>9.65</v>
      </c>
      <c r="M242" s="0" t="str">
        <f aca="false">"135.8"</f>
        <v>135.8</v>
      </c>
    </row>
    <row r="243" customFormat="false" ht="12.8" hidden="false" customHeight="false" outlineLevel="0" collapsed="false">
      <c r="A243" s="0" t="s">
        <v>1055</v>
      </c>
      <c r="B243" s="0" t="s">
        <v>9</v>
      </c>
      <c r="C243" s="0" t="str">
        <f aca="false">"618-629"</f>
        <v>618-629</v>
      </c>
      <c r="D243" s="0" t="s">
        <v>9</v>
      </c>
      <c r="E243" s="0" t="str">
        <f aca="false">"672-683"</f>
        <v>672-683</v>
      </c>
      <c r="F243" s="0" t="s">
        <v>1297</v>
      </c>
      <c r="G243" s="0" t="s">
        <v>9</v>
      </c>
      <c r="H243" s="0" t="str">
        <f aca="false">"137-148"</f>
        <v>137-148</v>
      </c>
      <c r="I243" s="0" t="s">
        <v>9</v>
      </c>
      <c r="J243" s="0" t="str">
        <f aca="false">"119-130"</f>
        <v>119-130</v>
      </c>
      <c r="K243" s="0" t="str">
        <f aca="false">"1.14"</f>
        <v>1.14</v>
      </c>
      <c r="L243" s="0" t="str">
        <f aca="false">"9.49"</f>
        <v>9.49</v>
      </c>
      <c r="M243" s="0" t="str">
        <f aca="false">"132.9"</f>
        <v>132.9</v>
      </c>
    </row>
    <row r="244" customFormat="false" ht="12.8" hidden="false" customHeight="false" outlineLevel="0" collapsed="false">
      <c r="A244" s="0" t="s">
        <v>1055</v>
      </c>
      <c r="B244" s="0" t="s">
        <v>9</v>
      </c>
      <c r="C244" s="0" t="str">
        <f aca="false">"618-629"</f>
        <v>618-629</v>
      </c>
      <c r="D244" s="0" t="s">
        <v>9</v>
      </c>
      <c r="E244" s="0" t="str">
        <f aca="false">"676-687"</f>
        <v>676-687</v>
      </c>
      <c r="F244" s="0" t="s">
        <v>1298</v>
      </c>
      <c r="G244" s="0" t="s">
        <v>9</v>
      </c>
      <c r="H244" s="0" t="str">
        <f aca="false">"708-719"</f>
        <v>708-719</v>
      </c>
      <c r="I244" s="0" t="s">
        <v>9</v>
      </c>
      <c r="J244" s="0" t="str">
        <f aca="false">"688-699"</f>
        <v>688-699</v>
      </c>
      <c r="K244" s="0" t="str">
        <f aca="false">"1.25"</f>
        <v>1.25</v>
      </c>
      <c r="L244" s="0" t="str">
        <f aca="false">"9.63"</f>
        <v>9.63</v>
      </c>
      <c r="M244" s="0" t="str">
        <f aca="false">"159.1"</f>
        <v>159.1</v>
      </c>
    </row>
    <row r="245" customFormat="false" ht="12.8" hidden="false" customHeight="false" outlineLevel="0" collapsed="false">
      <c r="A245" s="0" t="s">
        <v>1055</v>
      </c>
      <c r="B245" s="0" t="s">
        <v>9</v>
      </c>
      <c r="C245" s="0" t="str">
        <f aca="false">"618-629"</f>
        <v>618-629</v>
      </c>
      <c r="D245" s="0" t="s">
        <v>9</v>
      </c>
      <c r="E245" s="0" t="str">
        <f aca="false">"672-683"</f>
        <v>672-683</v>
      </c>
      <c r="F245" s="0" t="s">
        <v>1299</v>
      </c>
      <c r="G245" s="0" t="s">
        <v>13</v>
      </c>
      <c r="H245" s="0" t="str">
        <f aca="false">"193-204"</f>
        <v>193-204</v>
      </c>
      <c r="I245" s="0" t="s">
        <v>13</v>
      </c>
      <c r="J245" s="0" t="str">
        <f aca="false">"158-169"</f>
        <v>158-169</v>
      </c>
      <c r="K245" s="0" t="str">
        <f aca="false">"1.25"</f>
        <v>1.25</v>
      </c>
      <c r="L245" s="0" t="str">
        <f aca="false">"10.58"</f>
        <v>10.58</v>
      </c>
      <c r="M245" s="0" t="str">
        <f aca="false">"145.5"</f>
        <v>145.5</v>
      </c>
    </row>
    <row r="246" customFormat="false" ht="12.8" hidden="false" customHeight="false" outlineLevel="0" collapsed="false">
      <c r="A246" s="0" t="s">
        <v>1055</v>
      </c>
      <c r="B246" s="0" t="s">
        <v>9</v>
      </c>
      <c r="C246" s="0" t="str">
        <f aca="false">"614-625"</f>
        <v>614-625</v>
      </c>
      <c r="D246" s="0" t="s">
        <v>9</v>
      </c>
      <c r="E246" s="0" t="str">
        <f aca="false">"675-686"</f>
        <v>675-686</v>
      </c>
      <c r="F246" s="0" t="s">
        <v>1300</v>
      </c>
      <c r="G246" s="0" t="s">
        <v>9</v>
      </c>
      <c r="H246" s="0" t="str">
        <f aca="false">"85-96"</f>
        <v>85-96</v>
      </c>
      <c r="I246" s="0" t="s">
        <v>9</v>
      </c>
      <c r="J246" s="0" t="str">
        <f aca="false">"105-116"</f>
        <v>105-116</v>
      </c>
      <c r="K246" s="0" t="str">
        <f aca="false">"1.00"</f>
        <v>1.00</v>
      </c>
      <c r="L246" s="0" t="str">
        <f aca="false">"10.46"</f>
        <v>10.46</v>
      </c>
      <c r="M246" s="0" t="str">
        <f aca="false">"141.1"</f>
        <v>141.1</v>
      </c>
    </row>
    <row r="247" customFormat="false" ht="12.8" hidden="false" customHeight="false" outlineLevel="0" collapsed="false">
      <c r="A247" s="0" t="s">
        <v>1055</v>
      </c>
      <c r="B247" s="0" t="s">
        <v>9</v>
      </c>
      <c r="C247" s="0" t="str">
        <f aca="false">"618-629"</f>
        <v>618-629</v>
      </c>
      <c r="D247" s="0" t="s">
        <v>9</v>
      </c>
      <c r="E247" s="0" t="str">
        <f aca="false">"676-687"</f>
        <v>676-687</v>
      </c>
      <c r="F247" s="0" t="s">
        <v>1301</v>
      </c>
      <c r="G247" s="0" t="s">
        <v>9</v>
      </c>
      <c r="H247" s="0" t="str">
        <f aca="false">"75-86"</f>
        <v>75-86</v>
      </c>
      <c r="I247" s="0" t="s">
        <v>9</v>
      </c>
      <c r="J247" s="0" t="str">
        <f aca="false">"37-48"</f>
        <v>37-48</v>
      </c>
      <c r="K247" s="0" t="str">
        <f aca="false">"0.89"</f>
        <v>0.89</v>
      </c>
      <c r="L247" s="0" t="str">
        <f aca="false">"8.91"</f>
        <v>8.91</v>
      </c>
      <c r="M247" s="0" t="str">
        <f aca="false">"137.3"</f>
        <v>137.3</v>
      </c>
    </row>
    <row r="248" customFormat="false" ht="12.8" hidden="false" customHeight="false" outlineLevel="0" collapsed="false">
      <c r="A248" s="0" t="s">
        <v>1055</v>
      </c>
      <c r="B248" s="0" t="s">
        <v>9</v>
      </c>
      <c r="C248" s="0" t="str">
        <f aca="false">"618-629"</f>
        <v>618-629</v>
      </c>
      <c r="D248" s="0" t="s">
        <v>9</v>
      </c>
      <c r="E248" s="0" t="str">
        <f aca="false">"674-685"</f>
        <v>674-685</v>
      </c>
      <c r="F248" s="0" t="s">
        <v>1302</v>
      </c>
      <c r="G248" s="0" t="s">
        <v>9</v>
      </c>
      <c r="H248" s="0" t="str">
        <f aca="false">"183-194"</f>
        <v>183-194</v>
      </c>
      <c r="I248" s="0" t="s">
        <v>9</v>
      </c>
      <c r="J248" s="0" t="str">
        <f aca="false">"160-171"</f>
        <v>160-171</v>
      </c>
      <c r="K248" s="0" t="str">
        <f aca="false">"1.22"</f>
        <v>1.22</v>
      </c>
      <c r="L248" s="0" t="str">
        <f aca="false">"8.92"</f>
        <v>8.92</v>
      </c>
      <c r="M248" s="0" t="str">
        <f aca="false">"128.3"</f>
        <v>128.3</v>
      </c>
    </row>
    <row r="249" customFormat="false" ht="12.8" hidden="false" customHeight="false" outlineLevel="0" collapsed="false">
      <c r="A249" s="0" t="s">
        <v>1055</v>
      </c>
      <c r="B249" s="0" t="s">
        <v>9</v>
      </c>
      <c r="C249" s="0" t="str">
        <f aca="false">"618-629"</f>
        <v>618-629</v>
      </c>
      <c r="D249" s="0" t="s">
        <v>9</v>
      </c>
      <c r="E249" s="0" t="str">
        <f aca="false">"676-687"</f>
        <v>676-687</v>
      </c>
      <c r="F249" s="0" t="s">
        <v>1303</v>
      </c>
      <c r="G249" s="0" t="s">
        <v>9</v>
      </c>
      <c r="H249" s="0" t="str">
        <f aca="false">"176-187"</f>
        <v>176-187</v>
      </c>
      <c r="I249" s="0" t="s">
        <v>9</v>
      </c>
      <c r="J249" s="0" t="str">
        <f aca="false">"143-154"</f>
        <v>143-154</v>
      </c>
      <c r="K249" s="0" t="str">
        <f aca="false">"0.96"</f>
        <v>0.96</v>
      </c>
      <c r="L249" s="0" t="str">
        <f aca="false">"9.07"</f>
        <v>9.07</v>
      </c>
      <c r="M249" s="0" t="str">
        <f aca="false">"142.1"</f>
        <v>142.1</v>
      </c>
    </row>
    <row r="250" customFormat="false" ht="12.8" hidden="false" customHeight="false" outlineLevel="0" collapsed="false">
      <c r="A250" s="0" t="s">
        <v>1055</v>
      </c>
      <c r="B250" s="0" t="s">
        <v>9</v>
      </c>
      <c r="C250" s="0" t="str">
        <f aca="false">"617-628"</f>
        <v>617-628</v>
      </c>
      <c r="D250" s="0" t="s">
        <v>9</v>
      </c>
      <c r="E250" s="0" t="str">
        <f aca="false">"673-684"</f>
        <v>673-684</v>
      </c>
      <c r="F250" s="0" t="s">
        <v>1304</v>
      </c>
      <c r="G250" s="0" t="s">
        <v>9</v>
      </c>
      <c r="H250" s="0" t="str">
        <f aca="false">"119-130"</f>
        <v>119-130</v>
      </c>
      <c r="I250" s="0" t="s">
        <v>9</v>
      </c>
      <c r="J250" s="0" t="str">
        <f aca="false">"134-145"</f>
        <v>134-145</v>
      </c>
      <c r="K250" s="0" t="str">
        <f aca="false">"1.22"</f>
        <v>1.22</v>
      </c>
      <c r="L250" s="0" t="str">
        <f aca="false">"10.14"</f>
        <v>10.14</v>
      </c>
      <c r="M250" s="0" t="str">
        <f aca="false">"136.9"</f>
        <v>136.9</v>
      </c>
    </row>
    <row r="251" customFormat="false" ht="12.8" hidden="false" customHeight="false" outlineLevel="0" collapsed="false">
      <c r="A251" s="0" t="s">
        <v>1055</v>
      </c>
      <c r="B251" s="0" t="s">
        <v>9</v>
      </c>
      <c r="C251" s="0" t="str">
        <f aca="false">"618-629"</f>
        <v>618-629</v>
      </c>
      <c r="D251" s="0" t="s">
        <v>9</v>
      </c>
      <c r="E251" s="0" t="str">
        <f aca="false">"676-687"</f>
        <v>676-687</v>
      </c>
      <c r="F251" s="0" t="s">
        <v>1305</v>
      </c>
      <c r="G251" s="0" t="s">
        <v>9</v>
      </c>
      <c r="H251" s="0" t="str">
        <f aca="false">"317-328"</f>
        <v>317-328</v>
      </c>
      <c r="I251" s="0" t="s">
        <v>9</v>
      </c>
      <c r="J251" s="0" t="str">
        <f aca="false">"343-354"</f>
        <v>343-354</v>
      </c>
      <c r="K251" s="0" t="str">
        <f aca="false">"1.09"</f>
        <v>1.09</v>
      </c>
      <c r="L251" s="0" t="str">
        <f aca="false">"9.26"</f>
        <v>9.26</v>
      </c>
      <c r="M251" s="0" t="str">
        <f aca="false">"125.8"</f>
        <v>125.8</v>
      </c>
    </row>
    <row r="252" customFormat="false" ht="12.8" hidden="false" customHeight="false" outlineLevel="0" collapsed="false">
      <c r="A252" s="0" t="s">
        <v>1055</v>
      </c>
      <c r="B252" s="0" t="s">
        <v>9</v>
      </c>
      <c r="C252" s="0" t="str">
        <f aca="false">"618-629"</f>
        <v>618-629</v>
      </c>
      <c r="D252" s="0" t="s">
        <v>9</v>
      </c>
      <c r="E252" s="0" t="str">
        <f aca="false">"676-687"</f>
        <v>676-687</v>
      </c>
      <c r="F252" s="0" t="s">
        <v>1306</v>
      </c>
      <c r="G252" s="0" t="s">
        <v>9</v>
      </c>
      <c r="H252" s="0" t="str">
        <f aca="false">"201-212"</f>
        <v>201-212</v>
      </c>
      <c r="I252" s="0" t="s">
        <v>9</v>
      </c>
      <c r="J252" s="0" t="str">
        <f aca="false">"224-235"</f>
        <v>224-235</v>
      </c>
      <c r="K252" s="0" t="str">
        <f aca="false">"0.89"</f>
        <v>0.89</v>
      </c>
      <c r="L252" s="0" t="str">
        <f aca="false">"9.70"</f>
        <v>9.70</v>
      </c>
      <c r="M252" s="0" t="str">
        <f aca="false">"131.1"</f>
        <v>131.1</v>
      </c>
    </row>
    <row r="253" customFormat="false" ht="12.8" hidden="false" customHeight="false" outlineLevel="0" collapsed="false">
      <c r="A253" s="0" t="s">
        <v>1055</v>
      </c>
      <c r="B253" s="0" t="s">
        <v>9</v>
      </c>
      <c r="C253" s="0" t="str">
        <f aca="false">"616-627"</f>
        <v>616-627</v>
      </c>
      <c r="D253" s="0" t="s">
        <v>9</v>
      </c>
      <c r="E253" s="0" t="str">
        <f aca="false">"674-685"</f>
        <v>674-685</v>
      </c>
      <c r="F253" s="0" t="s">
        <v>1307</v>
      </c>
      <c r="G253" s="0" t="s">
        <v>9</v>
      </c>
      <c r="H253" s="0" t="str">
        <f aca="false">"156-167"</f>
        <v>156-167</v>
      </c>
      <c r="I253" s="0" t="s">
        <v>9</v>
      </c>
      <c r="J253" s="0" t="str">
        <f aca="false">"19-30"</f>
        <v>19-30</v>
      </c>
      <c r="K253" s="0" t="str">
        <f aca="false">"0.93"</f>
        <v>0.93</v>
      </c>
      <c r="L253" s="0" t="str">
        <f aca="false">"10.80"</f>
        <v>10.80</v>
      </c>
      <c r="M253" s="0" t="str">
        <f aca="false">"147.1"</f>
        <v>147.1</v>
      </c>
    </row>
    <row r="254" customFormat="false" ht="12.8" hidden="false" customHeight="false" outlineLevel="0" collapsed="false">
      <c r="A254" s="0" t="s">
        <v>1055</v>
      </c>
      <c r="B254" s="0" t="s">
        <v>9</v>
      </c>
      <c r="C254" s="0" t="str">
        <f aca="false">"620-631"</f>
        <v>620-631</v>
      </c>
      <c r="D254" s="0" t="s">
        <v>9</v>
      </c>
      <c r="E254" s="0" t="str">
        <f aca="false">"676-687"</f>
        <v>676-687</v>
      </c>
      <c r="F254" s="0" t="s">
        <v>1308</v>
      </c>
      <c r="G254" s="0" t="s">
        <v>9</v>
      </c>
      <c r="H254" s="0" t="str">
        <f aca="false">"110-121"</f>
        <v>110-121</v>
      </c>
      <c r="I254" s="0" t="s">
        <v>9</v>
      </c>
      <c r="J254" s="0" t="str">
        <f aca="false">"168-179"</f>
        <v>168-179</v>
      </c>
      <c r="K254" s="0" t="str">
        <f aca="false">"0.60"</f>
        <v>0.60</v>
      </c>
      <c r="L254" s="0" t="str">
        <f aca="false">"10.84"</f>
        <v>10.84</v>
      </c>
      <c r="M254" s="0" t="str">
        <f aca="false">"138.9"</f>
        <v>138.9</v>
      </c>
    </row>
    <row r="255" customFormat="false" ht="12.8" hidden="false" customHeight="false" outlineLevel="0" collapsed="false">
      <c r="A255" s="0" t="s">
        <v>1055</v>
      </c>
      <c r="B255" s="0" t="s">
        <v>9</v>
      </c>
      <c r="C255" s="0" t="str">
        <f aca="false">"619-630"</f>
        <v>619-630</v>
      </c>
      <c r="D255" s="0" t="s">
        <v>9</v>
      </c>
      <c r="E255" s="0" t="str">
        <f aca="false">"676-687"</f>
        <v>676-687</v>
      </c>
      <c r="F255" s="0" t="s">
        <v>1309</v>
      </c>
      <c r="G255" s="0" t="s">
        <v>13</v>
      </c>
      <c r="H255" s="0" t="str">
        <f aca="false">"175-186"</f>
        <v>175-186</v>
      </c>
      <c r="I255" s="0" t="s">
        <v>13</v>
      </c>
      <c r="J255" s="0" t="str">
        <f aca="false">"194-205"</f>
        <v>194-205</v>
      </c>
      <c r="K255" s="0" t="str">
        <f aca="false">"0.88"</f>
        <v>0.88</v>
      </c>
      <c r="L255" s="0" t="str">
        <f aca="false">"11.18"</f>
        <v>11.18</v>
      </c>
      <c r="M255" s="0" t="str">
        <f aca="false">"133.2"</f>
        <v>133.2</v>
      </c>
    </row>
    <row r="256" customFormat="false" ht="12.8" hidden="false" customHeight="false" outlineLevel="0" collapsed="false">
      <c r="A256" s="0" t="s">
        <v>1055</v>
      </c>
      <c r="B256" s="0" t="s">
        <v>9</v>
      </c>
      <c r="C256" s="0" t="str">
        <f aca="false">"612-623"</f>
        <v>612-623</v>
      </c>
      <c r="D256" s="0" t="s">
        <v>9</v>
      </c>
      <c r="E256" s="0" t="str">
        <f aca="false">"674-685"</f>
        <v>674-685</v>
      </c>
      <c r="F256" s="0" t="s">
        <v>1310</v>
      </c>
      <c r="G256" s="0" t="s">
        <v>13</v>
      </c>
      <c r="H256" s="0" t="str">
        <f aca="false">"142-153"</f>
        <v>142-153</v>
      </c>
      <c r="I256" s="0" t="s">
        <v>13</v>
      </c>
      <c r="J256" s="0" t="str">
        <f aca="false">"87-98"</f>
        <v>87-98</v>
      </c>
      <c r="K256" s="0" t="str">
        <f aca="false">"0.95"</f>
        <v>0.95</v>
      </c>
      <c r="L256" s="0" t="str">
        <f aca="false">"11.77"</f>
        <v>11.77</v>
      </c>
      <c r="M256" s="0" t="str">
        <f aca="false">"127.2"</f>
        <v>127.2</v>
      </c>
    </row>
    <row r="257" customFormat="false" ht="12.8" hidden="false" customHeight="false" outlineLevel="0" collapsed="false">
      <c r="A257" s="0" t="s">
        <v>1055</v>
      </c>
      <c r="B257" s="0" t="s">
        <v>9</v>
      </c>
      <c r="C257" s="0" t="str">
        <f aca="false">"616-627"</f>
        <v>616-627</v>
      </c>
      <c r="D257" s="0" t="s">
        <v>9</v>
      </c>
      <c r="E257" s="0" t="str">
        <f aca="false">"672-683"</f>
        <v>672-683</v>
      </c>
      <c r="F257" s="0" t="s">
        <v>1311</v>
      </c>
      <c r="G257" s="0" t="s">
        <v>9</v>
      </c>
      <c r="H257" s="0" t="str">
        <f aca="false">"379-390"</f>
        <v>379-390</v>
      </c>
      <c r="I257" s="0" t="s">
        <v>9</v>
      </c>
      <c r="J257" s="0" t="str">
        <f aca="false">"327-338"</f>
        <v>327-338</v>
      </c>
      <c r="K257" s="0" t="str">
        <f aca="false">"0.61"</f>
        <v>0.61</v>
      </c>
      <c r="L257" s="0" t="str">
        <f aca="false">"10.54"</f>
        <v>10.54</v>
      </c>
      <c r="M257" s="0" t="str">
        <f aca="false">"142.3"</f>
        <v>142.3</v>
      </c>
    </row>
    <row r="258" customFormat="false" ht="12.8" hidden="false" customHeight="false" outlineLevel="0" collapsed="false">
      <c r="A258" s="0" t="s">
        <v>1055</v>
      </c>
      <c r="B258" s="0" t="s">
        <v>9</v>
      </c>
      <c r="C258" s="0" t="str">
        <f aca="false">"613-624"</f>
        <v>613-624</v>
      </c>
      <c r="D258" s="0" t="s">
        <v>9</v>
      </c>
      <c r="E258" s="0" t="str">
        <f aca="false">"672-683"</f>
        <v>672-683</v>
      </c>
      <c r="F258" s="0" t="s">
        <v>1312</v>
      </c>
      <c r="G258" s="0" t="s">
        <v>9</v>
      </c>
      <c r="H258" s="0" t="str">
        <f aca="false">"51-62"</f>
        <v>51-62</v>
      </c>
      <c r="I258" s="0" t="s">
        <v>9</v>
      </c>
      <c r="J258" s="0" t="str">
        <f aca="false">"81-92"</f>
        <v>81-92</v>
      </c>
      <c r="K258" s="0" t="str">
        <f aca="false">"1.22"</f>
        <v>1.22</v>
      </c>
      <c r="L258" s="0" t="str">
        <f aca="false">"14.58"</f>
        <v>14.58</v>
      </c>
      <c r="M258" s="0" t="str">
        <f aca="false">"125.8"</f>
        <v>125.8</v>
      </c>
    </row>
    <row r="259" customFormat="false" ht="12.8" hidden="false" customHeight="false" outlineLevel="0" collapsed="false">
      <c r="A259" s="0" t="s">
        <v>1055</v>
      </c>
      <c r="B259" s="0" t="s">
        <v>9</v>
      </c>
      <c r="C259" s="0" t="str">
        <f aca="false">"618-629"</f>
        <v>618-629</v>
      </c>
      <c r="D259" s="0" t="s">
        <v>9</v>
      </c>
      <c r="E259" s="0" t="str">
        <f aca="false">"677-688"</f>
        <v>677-688</v>
      </c>
      <c r="F259" s="0" t="s">
        <v>1313</v>
      </c>
      <c r="G259" s="0" t="s">
        <v>13</v>
      </c>
      <c r="H259" s="0" t="str">
        <f aca="false">"155-166"</f>
        <v>155-166</v>
      </c>
      <c r="I259" s="0" t="s">
        <v>13</v>
      </c>
      <c r="J259" s="0" t="str">
        <f aca="false">"13-24"</f>
        <v>13-24</v>
      </c>
      <c r="K259" s="0" t="str">
        <f aca="false">"0.90"</f>
        <v>0.90</v>
      </c>
      <c r="L259" s="0" t="str">
        <f aca="false">"9.78"</f>
        <v>9.78</v>
      </c>
      <c r="M259" s="0" t="str">
        <f aca="false">"129.3"</f>
        <v>129.3</v>
      </c>
    </row>
    <row r="260" customFormat="false" ht="12.8" hidden="false" customHeight="false" outlineLevel="0" collapsed="false">
      <c r="A260" s="0" t="s">
        <v>1055</v>
      </c>
      <c r="B260" s="0" t="s">
        <v>9</v>
      </c>
      <c r="C260" s="0" t="str">
        <f aca="false">"618-629"</f>
        <v>618-629</v>
      </c>
      <c r="D260" s="0" t="s">
        <v>9</v>
      </c>
      <c r="E260" s="0" t="str">
        <f aca="false">"677-688"</f>
        <v>677-688</v>
      </c>
      <c r="F260" s="0" t="s">
        <v>1314</v>
      </c>
      <c r="G260" s="0" t="s">
        <v>9</v>
      </c>
      <c r="H260" s="0" t="str">
        <f aca="false">"158-169"</f>
        <v>158-169</v>
      </c>
      <c r="I260" s="0" t="s">
        <v>9</v>
      </c>
      <c r="J260" s="0" t="str">
        <f aca="false">"16-27"</f>
        <v>16-27</v>
      </c>
      <c r="K260" s="0" t="str">
        <f aca="false">"0.93"</f>
        <v>0.93</v>
      </c>
      <c r="L260" s="0" t="str">
        <f aca="false">"10.09"</f>
        <v>10.09</v>
      </c>
      <c r="M260" s="0" t="str">
        <f aca="false">"131.7"</f>
        <v>131.7</v>
      </c>
    </row>
    <row r="261" customFormat="false" ht="12.8" hidden="false" customHeight="false" outlineLevel="0" collapsed="false">
      <c r="A261" s="0" t="s">
        <v>1055</v>
      </c>
      <c r="B261" s="0" t="s">
        <v>9</v>
      </c>
      <c r="C261" s="0" t="str">
        <f aca="false">"618-629"</f>
        <v>618-629</v>
      </c>
      <c r="D261" s="0" t="s">
        <v>9</v>
      </c>
      <c r="E261" s="0" t="str">
        <f aca="false">"677-688"</f>
        <v>677-688</v>
      </c>
      <c r="F261" s="0" t="s">
        <v>1315</v>
      </c>
      <c r="G261" s="0" t="s">
        <v>13</v>
      </c>
      <c r="H261" s="0" t="str">
        <f aca="false">"148-159"</f>
        <v>148-159</v>
      </c>
      <c r="I261" s="0" t="s">
        <v>13</v>
      </c>
      <c r="J261" s="0" t="str">
        <f aca="false">"14-25"</f>
        <v>14-25</v>
      </c>
      <c r="K261" s="0" t="str">
        <f aca="false">"1.00"</f>
        <v>1.00</v>
      </c>
      <c r="L261" s="0" t="str">
        <f aca="false">"10.49"</f>
        <v>10.49</v>
      </c>
      <c r="M261" s="0" t="str">
        <f aca="false">"133.4"</f>
        <v>133.4</v>
      </c>
    </row>
    <row r="262" customFormat="false" ht="12.8" hidden="false" customHeight="false" outlineLevel="0" collapsed="false">
      <c r="A262" s="0" t="s">
        <v>1055</v>
      </c>
      <c r="B262" s="0" t="s">
        <v>9</v>
      </c>
      <c r="C262" s="0" t="str">
        <f aca="false">"618-629"</f>
        <v>618-629</v>
      </c>
      <c r="D262" s="0" t="s">
        <v>9</v>
      </c>
      <c r="E262" s="0" t="str">
        <f aca="false">"677-688"</f>
        <v>677-688</v>
      </c>
      <c r="F262" s="0" t="s">
        <v>1316</v>
      </c>
      <c r="G262" s="0" t="s">
        <v>9</v>
      </c>
      <c r="H262" s="0" t="str">
        <f aca="false">"153-164"</f>
        <v>153-164</v>
      </c>
      <c r="I262" s="0" t="s">
        <v>9</v>
      </c>
      <c r="J262" s="0" t="str">
        <f aca="false">"10-21"</f>
        <v>10-21</v>
      </c>
      <c r="K262" s="0" t="str">
        <f aca="false">"1.17"</f>
        <v>1.17</v>
      </c>
      <c r="L262" s="0" t="str">
        <f aca="false">"9.90"</f>
        <v>9.90</v>
      </c>
      <c r="M262" s="0" t="str">
        <f aca="false">"135.3"</f>
        <v>135.3</v>
      </c>
    </row>
    <row r="263" customFormat="false" ht="12.8" hidden="false" customHeight="false" outlineLevel="0" collapsed="false">
      <c r="A263" s="0" t="s">
        <v>1055</v>
      </c>
      <c r="B263" s="0" t="s">
        <v>9</v>
      </c>
      <c r="C263" s="0" t="str">
        <f aca="false">"615-626"</f>
        <v>615-626</v>
      </c>
      <c r="D263" s="0" t="s">
        <v>9</v>
      </c>
      <c r="E263" s="0" t="str">
        <f aca="false">"674-685"</f>
        <v>674-685</v>
      </c>
      <c r="F263" s="0" t="s">
        <v>1317</v>
      </c>
      <c r="G263" s="0" t="s">
        <v>9</v>
      </c>
      <c r="H263" s="0" t="str">
        <f aca="false">"286-297"</f>
        <v>286-297</v>
      </c>
      <c r="I263" s="0" t="s">
        <v>9</v>
      </c>
      <c r="J263" s="0" t="str">
        <f aca="false">"262-273"</f>
        <v>262-273</v>
      </c>
      <c r="K263" s="0" t="str">
        <f aca="false">"1.21"</f>
        <v>1.21</v>
      </c>
      <c r="L263" s="0" t="str">
        <f aca="false">"10.19"</f>
        <v>10.19</v>
      </c>
      <c r="M263" s="0" t="str">
        <f aca="false">"136.4"</f>
        <v>136.4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81" activeCellId="0" sqref="S181"/>
    </sheetView>
  </sheetViews>
  <sheetFormatPr defaultRowHeight="14.65"/>
  <cols>
    <col collapsed="false" hidden="false" max="1" min="1" style="0" width="8.50510204081633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3.4336734693878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41836734693878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4.65" hidden="false" customHeight="false" outlineLevel="0" collapsed="false">
      <c r="A2" s="0" t="s">
        <v>1318</v>
      </c>
      <c r="B2" s="0" t="s">
        <v>13</v>
      </c>
      <c r="C2" s="0" t="str">
        <f aca="false">"189-200"</f>
        <v>189-200</v>
      </c>
      <c r="D2" s="0" t="s">
        <v>13</v>
      </c>
      <c r="E2" s="0" t="str">
        <f aca="false">"329-340"</f>
        <v>329-340</v>
      </c>
      <c r="F2" s="0" t="s">
        <v>1319</v>
      </c>
      <c r="G2" s="0" t="s">
        <v>13</v>
      </c>
      <c r="H2" s="0" t="str">
        <f aca="false">"419-430"</f>
        <v>419-430</v>
      </c>
      <c r="I2" s="0" t="s">
        <v>9</v>
      </c>
      <c r="J2" s="0" t="str">
        <f aca="false">"419-430"</f>
        <v>419-430</v>
      </c>
      <c r="K2" s="0" t="str">
        <f aca="false">"1.10"</f>
        <v>1.10</v>
      </c>
      <c r="L2" s="0" t="str">
        <f aca="false">"11.25"</f>
        <v>11.25</v>
      </c>
      <c r="M2" s="0" t="str">
        <f aca="false">"178.4"</f>
        <v>178.4</v>
      </c>
    </row>
    <row r="3" customFormat="false" ht="14.65" hidden="false" customHeight="false" outlineLevel="0" collapsed="false">
      <c r="A3" s="0" t="s">
        <v>1318</v>
      </c>
      <c r="B3" s="0" t="s">
        <v>13</v>
      </c>
      <c r="C3" s="0" t="str">
        <f aca="false">"181-192"</f>
        <v>181-192</v>
      </c>
      <c r="D3" s="0" t="s">
        <v>13</v>
      </c>
      <c r="E3" s="0" t="str">
        <f aca="false">"332-343"</f>
        <v>332-343</v>
      </c>
      <c r="F3" s="0" t="s">
        <v>1320</v>
      </c>
      <c r="G3" s="0" t="s">
        <v>9</v>
      </c>
      <c r="H3" s="0" t="str">
        <f aca="false">"324-335"</f>
        <v>324-335</v>
      </c>
      <c r="I3" s="0" t="s">
        <v>9</v>
      </c>
      <c r="J3" s="0" t="str">
        <f aca="false">"285-296"</f>
        <v>285-296</v>
      </c>
      <c r="K3" s="0" t="str">
        <f aca="false">"1.01"</f>
        <v>1.01</v>
      </c>
      <c r="L3" s="0" t="str">
        <f aca="false">"10.15"</f>
        <v>10.15</v>
      </c>
      <c r="M3" s="0" t="str">
        <f aca="false">"177.8"</f>
        <v>177.8</v>
      </c>
    </row>
    <row r="4" customFormat="false" ht="14.65" hidden="false" customHeight="false" outlineLevel="0" collapsed="false">
      <c r="A4" s="0" t="s">
        <v>1318</v>
      </c>
      <c r="B4" s="0" t="s">
        <v>13</v>
      </c>
      <c r="C4" s="0" t="str">
        <f aca="false">"189-200"</f>
        <v>189-200</v>
      </c>
      <c r="D4" s="0" t="s">
        <v>13</v>
      </c>
      <c r="E4" s="0" t="str">
        <f aca="false">"329-340"</f>
        <v>329-340</v>
      </c>
      <c r="F4" s="0" t="s">
        <v>1321</v>
      </c>
      <c r="G4" s="0" t="s">
        <v>9</v>
      </c>
      <c r="H4" s="0" t="str">
        <f aca="false">"27-38"</f>
        <v>27-38</v>
      </c>
      <c r="I4" s="0" t="s">
        <v>13</v>
      </c>
      <c r="J4" s="0" t="str">
        <f aca="false">"27-38"</f>
        <v>27-38</v>
      </c>
      <c r="K4" s="0" t="str">
        <f aca="false">"0.69"</f>
        <v>0.69</v>
      </c>
      <c r="L4" s="0" t="str">
        <f aca="false">"12.83"</f>
        <v>12.83</v>
      </c>
      <c r="M4" s="0" t="str">
        <f aca="false">"177.0"</f>
        <v>177.0</v>
      </c>
    </row>
    <row r="5" customFormat="false" ht="14.65" hidden="false" customHeight="false" outlineLevel="0" collapsed="false">
      <c r="A5" s="0" t="s">
        <v>1318</v>
      </c>
      <c r="B5" s="0" t="s">
        <v>13</v>
      </c>
      <c r="C5" s="0" t="str">
        <f aca="false">"185-196"</f>
        <v>185-196</v>
      </c>
      <c r="D5" s="0" t="s">
        <v>13</v>
      </c>
      <c r="E5" s="0" t="str">
        <f aca="false">"328-339"</f>
        <v>328-339</v>
      </c>
      <c r="F5" s="0" t="s">
        <v>1322</v>
      </c>
      <c r="G5" s="0" t="s">
        <v>9</v>
      </c>
      <c r="H5" s="0" t="str">
        <f aca="false">"120-131"</f>
        <v>120-131</v>
      </c>
      <c r="I5" s="0" t="s">
        <v>9</v>
      </c>
      <c r="J5" s="0" t="str">
        <f aca="false">"94-105"</f>
        <v>94-105</v>
      </c>
      <c r="K5" s="0" t="str">
        <f aca="false">"1.08"</f>
        <v>1.08</v>
      </c>
      <c r="L5" s="0" t="str">
        <f aca="false">"9.34"</f>
        <v>9.34</v>
      </c>
      <c r="M5" s="0" t="str">
        <f aca="false">"176.3"</f>
        <v>176.3</v>
      </c>
    </row>
    <row r="6" customFormat="false" ht="14.65" hidden="false" customHeight="false" outlineLevel="0" collapsed="false">
      <c r="A6" s="0" t="s">
        <v>1318</v>
      </c>
      <c r="B6" s="0" t="s">
        <v>13</v>
      </c>
      <c r="C6" s="0" t="str">
        <f aca="false">"185-196"</f>
        <v>185-196</v>
      </c>
      <c r="D6" s="0" t="s">
        <v>13</v>
      </c>
      <c r="E6" s="0" t="str">
        <f aca="false">"328-339"</f>
        <v>328-339</v>
      </c>
      <c r="F6" s="0" t="s">
        <v>1323</v>
      </c>
      <c r="G6" s="0" t="s">
        <v>9</v>
      </c>
      <c r="H6" s="0" t="str">
        <f aca="false">"1090-1101"</f>
        <v>1090-1101</v>
      </c>
      <c r="I6" s="0" t="s">
        <v>9</v>
      </c>
      <c r="J6" s="0" t="str">
        <f aca="false">"1048-1059"</f>
        <v>1048-1059</v>
      </c>
      <c r="K6" s="0" t="str">
        <f aca="false">"0.97"</f>
        <v>0.97</v>
      </c>
      <c r="L6" s="0" t="str">
        <f aca="false">"9.21"</f>
        <v>9.21</v>
      </c>
      <c r="M6" s="0" t="str">
        <f aca="false">"176.2"</f>
        <v>176.2</v>
      </c>
    </row>
    <row r="7" customFormat="false" ht="14.65" hidden="false" customHeight="false" outlineLevel="0" collapsed="false">
      <c r="A7" s="0" t="s">
        <v>1318</v>
      </c>
      <c r="B7" s="0" t="s">
        <v>13</v>
      </c>
      <c r="C7" s="0" t="str">
        <f aca="false">"185-196"</f>
        <v>185-196</v>
      </c>
      <c r="D7" s="0" t="s">
        <v>13</v>
      </c>
      <c r="E7" s="0" t="str">
        <f aca="false">"329-340"</f>
        <v>329-340</v>
      </c>
      <c r="F7" s="0" t="s">
        <v>1324</v>
      </c>
      <c r="G7" s="0" t="s">
        <v>9</v>
      </c>
      <c r="H7" s="0" t="str">
        <f aca="false">"209-220"</f>
        <v>209-220</v>
      </c>
      <c r="I7" s="0" t="s">
        <v>9</v>
      </c>
      <c r="J7" s="0" t="str">
        <f aca="false">"179-190"</f>
        <v>179-190</v>
      </c>
      <c r="K7" s="0" t="str">
        <f aca="false">"0.93"</f>
        <v>0.93</v>
      </c>
      <c r="L7" s="0" t="str">
        <f aca="false">"10.82"</f>
        <v>10.82</v>
      </c>
      <c r="M7" s="0" t="str">
        <f aca="false">"175.3"</f>
        <v>175.3</v>
      </c>
    </row>
    <row r="8" customFormat="false" ht="14.65" hidden="false" customHeight="false" outlineLevel="0" collapsed="false">
      <c r="A8" s="0" t="s">
        <v>1318</v>
      </c>
      <c r="B8" s="0" t="s">
        <v>13</v>
      </c>
      <c r="C8" s="0" t="str">
        <f aca="false">"189-200"</f>
        <v>189-200</v>
      </c>
      <c r="D8" s="0" t="s">
        <v>13</v>
      </c>
      <c r="E8" s="0" t="str">
        <f aca="false">"329-340"</f>
        <v>329-340</v>
      </c>
      <c r="F8" s="0" t="s">
        <v>1325</v>
      </c>
      <c r="G8" s="0" t="s">
        <v>9</v>
      </c>
      <c r="H8" s="0" t="str">
        <f aca="false">"278-289"</f>
        <v>278-289</v>
      </c>
      <c r="I8" s="0" t="s">
        <v>13</v>
      </c>
      <c r="J8" s="0" t="str">
        <f aca="false">"278-289"</f>
        <v>278-289</v>
      </c>
      <c r="K8" s="0" t="str">
        <f aca="false">"0.80"</f>
        <v>0.80</v>
      </c>
      <c r="L8" s="0" t="str">
        <f aca="false">"12.84"</f>
        <v>12.84</v>
      </c>
      <c r="M8" s="0" t="str">
        <f aca="false">"175.3"</f>
        <v>175.3</v>
      </c>
    </row>
    <row r="9" customFormat="false" ht="14.65" hidden="false" customHeight="false" outlineLevel="0" collapsed="false">
      <c r="A9" s="0" t="s">
        <v>1318</v>
      </c>
      <c r="B9" s="0" t="s">
        <v>13</v>
      </c>
      <c r="C9" s="0" t="str">
        <f aca="false">"189-200"</f>
        <v>189-200</v>
      </c>
      <c r="D9" s="0" t="s">
        <v>13</v>
      </c>
      <c r="E9" s="0" t="str">
        <f aca="false">"322-333"</f>
        <v>322-333</v>
      </c>
      <c r="F9" s="0" t="s">
        <v>1326</v>
      </c>
      <c r="G9" s="0" t="s">
        <v>9</v>
      </c>
      <c r="H9" s="0" t="str">
        <f aca="false">"177-188"</f>
        <v>177-188</v>
      </c>
      <c r="I9" s="0" t="s">
        <v>9</v>
      </c>
      <c r="J9" s="0" t="str">
        <f aca="false">"225-236"</f>
        <v>225-236</v>
      </c>
      <c r="K9" s="0" t="str">
        <f aca="false">"0.98"</f>
        <v>0.98</v>
      </c>
      <c r="L9" s="0" t="str">
        <f aca="false">"10.54"</f>
        <v>10.54</v>
      </c>
      <c r="M9" s="0" t="str">
        <f aca="false">"175.0"</f>
        <v>175.0</v>
      </c>
    </row>
    <row r="10" customFormat="false" ht="14.65" hidden="false" customHeight="false" outlineLevel="0" collapsed="false">
      <c r="A10" s="0" t="s">
        <v>1318</v>
      </c>
      <c r="B10" s="0" t="s">
        <v>13</v>
      </c>
      <c r="C10" s="0" t="str">
        <f aca="false">"184-195"</f>
        <v>184-195</v>
      </c>
      <c r="D10" s="0" t="s">
        <v>13</v>
      </c>
      <c r="E10" s="0" t="str">
        <f aca="false">"327-338"</f>
        <v>327-338</v>
      </c>
      <c r="F10" s="0" t="s">
        <v>1327</v>
      </c>
      <c r="G10" s="0" t="s">
        <v>9</v>
      </c>
      <c r="H10" s="0" t="str">
        <f aca="false">"61-72"</f>
        <v>61-72</v>
      </c>
      <c r="I10" s="0" t="s">
        <v>9</v>
      </c>
      <c r="J10" s="0" t="str">
        <f aca="false">"26-37"</f>
        <v>26-37</v>
      </c>
      <c r="K10" s="0" t="str">
        <f aca="false">"1.07"</f>
        <v>1.07</v>
      </c>
      <c r="L10" s="0" t="str">
        <f aca="false">"9.94"</f>
        <v>9.94</v>
      </c>
      <c r="M10" s="0" t="str">
        <f aca="false">"174.8"</f>
        <v>174.8</v>
      </c>
    </row>
    <row r="11" customFormat="false" ht="14.65" hidden="false" customHeight="false" outlineLevel="0" collapsed="false">
      <c r="A11" s="0" t="s">
        <v>1318</v>
      </c>
      <c r="B11" s="0" t="s">
        <v>13</v>
      </c>
      <c r="C11" s="0" t="str">
        <f aca="false">"188-199"</f>
        <v>188-199</v>
      </c>
      <c r="D11" s="0" t="s">
        <v>13</v>
      </c>
      <c r="E11" s="0" t="str">
        <f aca="false">"325-336"</f>
        <v>325-336</v>
      </c>
      <c r="F11" s="0" t="s">
        <v>1328</v>
      </c>
      <c r="G11" s="0" t="s">
        <v>9</v>
      </c>
      <c r="H11" s="0" t="str">
        <f aca="false">"4-15"</f>
        <v>4-15</v>
      </c>
      <c r="I11" s="0" t="s">
        <v>9</v>
      </c>
      <c r="J11" s="0" t="str">
        <f aca="false">"30-41"</f>
        <v>30-41</v>
      </c>
      <c r="K11" s="0" t="str">
        <f aca="false">"0.90"</f>
        <v>0.90</v>
      </c>
      <c r="L11" s="0" t="str">
        <f aca="false">"9.48"</f>
        <v>9.48</v>
      </c>
      <c r="M11" s="0" t="str">
        <f aca="false">"174.6"</f>
        <v>174.6</v>
      </c>
    </row>
    <row r="12" customFormat="false" ht="14.65" hidden="false" customHeight="false" outlineLevel="0" collapsed="false">
      <c r="A12" s="0" t="s">
        <v>1318</v>
      </c>
      <c r="B12" s="0" t="s">
        <v>13</v>
      </c>
      <c r="C12" s="0" t="str">
        <f aca="false">"187-198"</f>
        <v>187-198</v>
      </c>
      <c r="D12" s="0" t="s">
        <v>13</v>
      </c>
      <c r="E12" s="0" t="str">
        <f aca="false">"322-333"</f>
        <v>322-333</v>
      </c>
      <c r="F12" s="0" t="s">
        <v>1329</v>
      </c>
      <c r="G12" s="0" t="s">
        <v>13</v>
      </c>
      <c r="H12" s="0" t="str">
        <f aca="false">"102-113"</f>
        <v>102-113</v>
      </c>
      <c r="I12" s="0" t="s">
        <v>13</v>
      </c>
      <c r="J12" s="0" t="str">
        <f aca="false">"75-86"</f>
        <v>75-86</v>
      </c>
      <c r="K12" s="0" t="str">
        <f aca="false">"0.91"</f>
        <v>0.91</v>
      </c>
      <c r="L12" s="0" t="str">
        <f aca="false">"10.89"</f>
        <v>10.89</v>
      </c>
      <c r="M12" s="0" t="str">
        <f aca="false">"174.6"</f>
        <v>174.6</v>
      </c>
    </row>
    <row r="13" customFormat="false" ht="14.65" hidden="false" customHeight="false" outlineLevel="0" collapsed="false">
      <c r="A13" s="0" t="s">
        <v>1318</v>
      </c>
      <c r="B13" s="0" t="s">
        <v>13</v>
      </c>
      <c r="C13" s="0" t="str">
        <f aca="false">"184-195"</f>
        <v>184-195</v>
      </c>
      <c r="D13" s="0" t="s">
        <v>13</v>
      </c>
      <c r="E13" s="0" t="str">
        <f aca="false">"329-340"</f>
        <v>329-340</v>
      </c>
      <c r="F13" s="0" t="s">
        <v>1330</v>
      </c>
      <c r="G13" s="0" t="s">
        <v>13</v>
      </c>
      <c r="H13" s="0" t="str">
        <f aca="false">"84-95"</f>
        <v>84-95</v>
      </c>
      <c r="I13" s="0" t="s">
        <v>13</v>
      </c>
      <c r="J13" s="0" t="str">
        <f aca="false">"102-113"</f>
        <v>102-113</v>
      </c>
      <c r="K13" s="0" t="str">
        <f aca="false">"1.03"</f>
        <v>1.03</v>
      </c>
      <c r="L13" s="0" t="str">
        <f aca="false">"10.27"</f>
        <v>10.27</v>
      </c>
      <c r="M13" s="0" t="str">
        <f aca="false">"173.9"</f>
        <v>173.9</v>
      </c>
    </row>
    <row r="14" customFormat="false" ht="14.65" hidden="false" customHeight="false" outlineLevel="0" collapsed="false">
      <c r="A14" s="0" t="s">
        <v>1318</v>
      </c>
      <c r="B14" s="0" t="s">
        <v>13</v>
      </c>
      <c r="C14" s="0" t="str">
        <f aca="false">"186-197"</f>
        <v>186-197</v>
      </c>
      <c r="D14" s="0" t="s">
        <v>13</v>
      </c>
      <c r="E14" s="0" t="str">
        <f aca="false">"329-340"</f>
        <v>329-340</v>
      </c>
      <c r="F14" s="0" t="s">
        <v>1331</v>
      </c>
      <c r="G14" s="0" t="s">
        <v>9</v>
      </c>
      <c r="H14" s="0" t="str">
        <f aca="false">"211-222"</f>
        <v>211-222</v>
      </c>
      <c r="I14" s="0" t="s">
        <v>9</v>
      </c>
      <c r="J14" s="0" t="str">
        <f aca="false">"115-126"</f>
        <v>115-126</v>
      </c>
      <c r="K14" s="0" t="str">
        <f aca="false">"1.11"</f>
        <v>1.11</v>
      </c>
      <c r="L14" s="0" t="str">
        <f aca="false">"10.49"</f>
        <v>10.49</v>
      </c>
      <c r="M14" s="0" t="str">
        <f aca="false">"173.8"</f>
        <v>173.8</v>
      </c>
    </row>
    <row r="15" customFormat="false" ht="14.65" hidden="false" customHeight="false" outlineLevel="0" collapsed="false">
      <c r="A15" s="0" t="s">
        <v>1318</v>
      </c>
      <c r="B15" s="0" t="s">
        <v>13</v>
      </c>
      <c r="C15" s="0" t="str">
        <f aca="false">"185-196"</f>
        <v>185-196</v>
      </c>
      <c r="D15" s="0" t="s">
        <v>13</v>
      </c>
      <c r="E15" s="0" t="str">
        <f aca="false">"324-335"</f>
        <v>324-335</v>
      </c>
      <c r="F15" s="0" t="s">
        <v>1332</v>
      </c>
      <c r="G15" s="0" t="s">
        <v>9</v>
      </c>
      <c r="H15" s="0" t="str">
        <f aca="false">"47-58"</f>
        <v>47-58</v>
      </c>
      <c r="I15" s="0" t="s">
        <v>9</v>
      </c>
      <c r="J15" s="0" t="str">
        <f aca="false">"73-84"</f>
        <v>73-84</v>
      </c>
      <c r="K15" s="0" t="str">
        <f aca="false">"1.02"</f>
        <v>1.02</v>
      </c>
      <c r="L15" s="0" t="str">
        <f aca="false">"12.94"</f>
        <v>12.94</v>
      </c>
      <c r="M15" s="0" t="str">
        <f aca="false">"173.4"</f>
        <v>173.4</v>
      </c>
    </row>
    <row r="16" customFormat="false" ht="14.65" hidden="false" customHeight="false" outlineLevel="0" collapsed="false">
      <c r="A16" s="0" t="s">
        <v>1318</v>
      </c>
      <c r="B16" s="0" t="s">
        <v>13</v>
      </c>
      <c r="C16" s="0" t="str">
        <f aca="false">"189-200"</f>
        <v>189-200</v>
      </c>
      <c r="D16" s="0" t="s">
        <v>13</v>
      </c>
      <c r="E16" s="0" t="str">
        <f aca="false">"322-333"</f>
        <v>322-333</v>
      </c>
      <c r="F16" s="0" t="s">
        <v>1333</v>
      </c>
      <c r="G16" s="0" t="s">
        <v>9</v>
      </c>
      <c r="H16" s="0" t="str">
        <f aca="false">"166-177"</f>
        <v>166-177</v>
      </c>
      <c r="I16" s="0" t="s">
        <v>9</v>
      </c>
      <c r="J16" s="0" t="str">
        <f aca="false">"219-230"</f>
        <v>219-230</v>
      </c>
      <c r="K16" s="0" t="str">
        <f aca="false">"0.95"</f>
        <v>0.95</v>
      </c>
      <c r="L16" s="0" t="str">
        <f aca="false">"10.66"</f>
        <v>10.66</v>
      </c>
      <c r="M16" s="0" t="str">
        <f aca="false">"173.0"</f>
        <v>173.0</v>
      </c>
    </row>
    <row r="17" customFormat="false" ht="14.65" hidden="false" customHeight="false" outlineLevel="0" collapsed="false">
      <c r="A17" s="0" t="s">
        <v>1318</v>
      </c>
      <c r="B17" s="0" t="s">
        <v>13</v>
      </c>
      <c r="C17" s="0" t="str">
        <f aca="false">"189-200"</f>
        <v>189-200</v>
      </c>
      <c r="D17" s="0" t="s">
        <v>13</v>
      </c>
      <c r="E17" s="0" t="str">
        <f aca="false">"322-333"</f>
        <v>322-333</v>
      </c>
      <c r="F17" s="0" t="s">
        <v>1334</v>
      </c>
      <c r="G17" s="0" t="s">
        <v>9</v>
      </c>
      <c r="H17" s="0" t="str">
        <f aca="false">"543-554"</f>
        <v>543-554</v>
      </c>
      <c r="I17" s="0" t="s">
        <v>9</v>
      </c>
      <c r="J17" s="0" t="str">
        <f aca="false">"572-583"</f>
        <v>572-583</v>
      </c>
      <c r="K17" s="0" t="str">
        <f aca="false">"1.17"</f>
        <v>1.17</v>
      </c>
      <c r="L17" s="0" t="str">
        <f aca="false">"10.59"</f>
        <v>10.59</v>
      </c>
      <c r="M17" s="0" t="str">
        <f aca="false">"173.0"</f>
        <v>173.0</v>
      </c>
    </row>
    <row r="18" customFormat="false" ht="14.65" hidden="false" customHeight="false" outlineLevel="0" collapsed="false">
      <c r="A18" s="0" t="s">
        <v>1318</v>
      </c>
      <c r="B18" s="0" t="s">
        <v>13</v>
      </c>
      <c r="C18" s="0" t="str">
        <f aca="false">"181-192"</f>
        <v>181-192</v>
      </c>
      <c r="D18" s="0" t="s">
        <v>13</v>
      </c>
      <c r="E18" s="0" t="str">
        <f aca="false">"332-343"</f>
        <v>332-343</v>
      </c>
      <c r="F18" s="0" t="s">
        <v>1335</v>
      </c>
      <c r="G18" s="0" t="s">
        <v>9</v>
      </c>
      <c r="H18" s="0" t="str">
        <f aca="false">"185-196"</f>
        <v>185-196</v>
      </c>
      <c r="I18" s="0" t="s">
        <v>9</v>
      </c>
      <c r="J18" s="0" t="str">
        <f aca="false">"104-115"</f>
        <v>104-115</v>
      </c>
      <c r="K18" s="0" t="str">
        <f aca="false">"0.97"</f>
        <v>0.97</v>
      </c>
      <c r="L18" s="0" t="str">
        <f aca="false">"11.15"</f>
        <v>11.15</v>
      </c>
      <c r="M18" s="0" t="str">
        <f aca="false">"172.4"</f>
        <v>172.4</v>
      </c>
    </row>
    <row r="19" customFormat="false" ht="14.65" hidden="false" customHeight="false" outlineLevel="0" collapsed="false">
      <c r="A19" s="0" t="s">
        <v>1318</v>
      </c>
      <c r="B19" s="0" t="s">
        <v>13</v>
      </c>
      <c r="C19" s="0" t="str">
        <f aca="false">"189-200"</f>
        <v>189-200</v>
      </c>
      <c r="D19" s="0" t="s">
        <v>13</v>
      </c>
      <c r="E19" s="0" t="str">
        <f aca="false">"322-333"</f>
        <v>322-333</v>
      </c>
      <c r="F19" s="0" t="s">
        <v>1336</v>
      </c>
      <c r="G19" s="0" t="s">
        <v>9</v>
      </c>
      <c r="H19" s="0" t="str">
        <f aca="false">"180-191"</f>
        <v>180-191</v>
      </c>
      <c r="I19" s="0" t="s">
        <v>9</v>
      </c>
      <c r="J19" s="0" t="str">
        <f aca="false">"135-146"</f>
        <v>135-146</v>
      </c>
      <c r="K19" s="0" t="str">
        <f aca="false">"1.04"</f>
        <v>1.04</v>
      </c>
      <c r="L19" s="0" t="str">
        <f aca="false">"11.48"</f>
        <v>11.48</v>
      </c>
      <c r="M19" s="0" t="str">
        <f aca="false">"172.4"</f>
        <v>172.4</v>
      </c>
    </row>
    <row r="20" customFormat="false" ht="14.65" hidden="false" customHeight="false" outlineLevel="0" collapsed="false">
      <c r="A20" s="0" t="s">
        <v>1318</v>
      </c>
      <c r="B20" s="0" t="s">
        <v>13</v>
      </c>
      <c r="C20" s="0" t="str">
        <f aca="false">"189-200"</f>
        <v>189-200</v>
      </c>
      <c r="D20" s="0" t="s">
        <v>13</v>
      </c>
      <c r="E20" s="0" t="str">
        <f aca="false">"322-333"</f>
        <v>322-333</v>
      </c>
      <c r="F20" s="0" t="s">
        <v>1337</v>
      </c>
      <c r="G20" s="0" t="s">
        <v>13</v>
      </c>
      <c r="H20" s="0" t="str">
        <f aca="false">"222-233"</f>
        <v>222-233</v>
      </c>
      <c r="I20" s="0" t="s">
        <v>13</v>
      </c>
      <c r="J20" s="0" t="str">
        <f aca="false">"205-216"</f>
        <v>205-216</v>
      </c>
      <c r="K20" s="0" t="str">
        <f aca="false">"1.18"</f>
        <v>1.18</v>
      </c>
      <c r="L20" s="0" t="str">
        <f aca="false">"9.75"</f>
        <v>9.75</v>
      </c>
      <c r="M20" s="0" t="str">
        <f aca="false">"172.2"</f>
        <v>172.2</v>
      </c>
    </row>
    <row r="21" customFormat="false" ht="14.65" hidden="false" customHeight="false" outlineLevel="0" collapsed="false">
      <c r="A21" s="0" t="s">
        <v>1318</v>
      </c>
      <c r="B21" s="0" t="s">
        <v>13</v>
      </c>
      <c r="C21" s="0" t="str">
        <f aca="false">"189-200"</f>
        <v>189-200</v>
      </c>
      <c r="D21" s="0" t="s">
        <v>13</v>
      </c>
      <c r="E21" s="0" t="str">
        <f aca="false">"322-333"</f>
        <v>322-333</v>
      </c>
      <c r="F21" s="0" t="s">
        <v>1338</v>
      </c>
      <c r="G21" s="0" t="s">
        <v>9</v>
      </c>
      <c r="H21" s="0" t="str">
        <f aca="false">"206-217"</f>
        <v>206-217</v>
      </c>
      <c r="I21" s="0" t="s">
        <v>9</v>
      </c>
      <c r="J21" s="0" t="str">
        <f aca="false">"189-200"</f>
        <v>189-200</v>
      </c>
      <c r="K21" s="0" t="str">
        <f aca="false">"1.23"</f>
        <v>1.23</v>
      </c>
      <c r="L21" s="0" t="str">
        <f aca="false">"11.84"</f>
        <v>11.84</v>
      </c>
      <c r="M21" s="0" t="str">
        <f aca="false">"172.1"</f>
        <v>172.1</v>
      </c>
    </row>
    <row r="22" customFormat="false" ht="14.65" hidden="false" customHeight="false" outlineLevel="0" collapsed="false">
      <c r="A22" s="0" t="s">
        <v>1318</v>
      </c>
      <c r="B22" s="0" t="s">
        <v>13</v>
      </c>
      <c r="C22" s="0" t="str">
        <f aca="false">"182-193"</f>
        <v>182-193</v>
      </c>
      <c r="D22" s="0" t="s">
        <v>13</v>
      </c>
      <c r="E22" s="0" t="str">
        <f aca="false">"329-340"</f>
        <v>329-340</v>
      </c>
      <c r="F22" s="0" t="s">
        <v>1339</v>
      </c>
      <c r="G22" s="0" t="s">
        <v>9</v>
      </c>
      <c r="H22" s="0" t="str">
        <f aca="false">"81-92"</f>
        <v>81-92</v>
      </c>
      <c r="I22" s="0" t="s">
        <v>9</v>
      </c>
      <c r="J22" s="0" t="str">
        <f aca="false">"100-111"</f>
        <v>100-111</v>
      </c>
      <c r="K22" s="0" t="str">
        <f aca="false">"0.81"</f>
        <v>0.81</v>
      </c>
      <c r="L22" s="0" t="str">
        <f aca="false">"9.94"</f>
        <v>9.94</v>
      </c>
      <c r="M22" s="0" t="str">
        <f aca="false">"171.8"</f>
        <v>171.8</v>
      </c>
    </row>
    <row r="23" customFormat="false" ht="14.65" hidden="false" customHeight="false" outlineLevel="0" collapsed="false">
      <c r="A23" s="0" t="s">
        <v>1318</v>
      </c>
      <c r="B23" s="0" t="s">
        <v>13</v>
      </c>
      <c r="C23" s="0" t="str">
        <f aca="false">"189-200"</f>
        <v>189-200</v>
      </c>
      <c r="D23" s="0" t="s">
        <v>13</v>
      </c>
      <c r="E23" s="0" t="str">
        <f aca="false">"322-333"</f>
        <v>322-333</v>
      </c>
      <c r="F23" s="0" t="s">
        <v>1340</v>
      </c>
      <c r="G23" s="0" t="s">
        <v>70</v>
      </c>
      <c r="H23" s="0" t="str">
        <f aca="false">"77-88"</f>
        <v>77-88</v>
      </c>
      <c r="I23" s="0" t="s">
        <v>70</v>
      </c>
      <c r="J23" s="0" t="str">
        <f aca="false">"96-107"</f>
        <v>96-107</v>
      </c>
      <c r="K23" s="0" t="str">
        <f aca="false">"1.16"</f>
        <v>1.16</v>
      </c>
      <c r="L23" s="0" t="str">
        <f aca="false">"11.76"</f>
        <v>11.76</v>
      </c>
      <c r="M23" s="0" t="str">
        <f aca="false">"171.7"</f>
        <v>171.7</v>
      </c>
    </row>
    <row r="24" customFormat="false" ht="14.65" hidden="false" customHeight="false" outlineLevel="0" collapsed="false">
      <c r="A24" s="0" t="s">
        <v>1318</v>
      </c>
      <c r="B24" s="0" t="s">
        <v>13</v>
      </c>
      <c r="C24" s="0" t="str">
        <f aca="false">"189-200"</f>
        <v>189-200</v>
      </c>
      <c r="D24" s="0" t="s">
        <v>13</v>
      </c>
      <c r="E24" s="0" t="str">
        <f aca="false">"322-333"</f>
        <v>322-333</v>
      </c>
      <c r="F24" s="0" t="s">
        <v>1341</v>
      </c>
      <c r="G24" s="0" t="s">
        <v>9</v>
      </c>
      <c r="H24" s="0" t="str">
        <f aca="false">"35-46"</f>
        <v>35-46</v>
      </c>
      <c r="I24" s="0" t="s">
        <v>9</v>
      </c>
      <c r="J24" s="0" t="str">
        <f aca="false">"15-26"</f>
        <v>15-26</v>
      </c>
      <c r="K24" s="0" t="str">
        <f aca="false">"0.71"</f>
        <v>0.71</v>
      </c>
      <c r="L24" s="0" t="str">
        <f aca="false">"10.52"</f>
        <v>10.52</v>
      </c>
      <c r="M24" s="0" t="str">
        <f aca="false">"171.4"</f>
        <v>171.4</v>
      </c>
    </row>
    <row r="25" customFormat="false" ht="14.65" hidden="false" customHeight="false" outlineLevel="0" collapsed="false">
      <c r="A25" s="0" t="s">
        <v>1318</v>
      </c>
      <c r="B25" s="0" t="s">
        <v>13</v>
      </c>
      <c r="C25" s="0" t="str">
        <f aca="false">"185-196"</f>
        <v>185-196</v>
      </c>
      <c r="D25" s="0" t="s">
        <v>13</v>
      </c>
      <c r="E25" s="0" t="str">
        <f aca="false">"328-339"</f>
        <v>328-339</v>
      </c>
      <c r="F25" s="0" t="s">
        <v>1342</v>
      </c>
      <c r="G25" s="0" t="s">
        <v>9</v>
      </c>
      <c r="H25" s="0" t="str">
        <f aca="false">"620-631"</f>
        <v>620-631</v>
      </c>
      <c r="I25" s="0" t="s">
        <v>9</v>
      </c>
      <c r="J25" s="0" t="str">
        <f aca="false">"777-788"</f>
        <v>777-788</v>
      </c>
      <c r="K25" s="0" t="str">
        <f aca="false">"0.83"</f>
        <v>0.83</v>
      </c>
      <c r="L25" s="0" t="str">
        <f aca="false">"9.75"</f>
        <v>9.75</v>
      </c>
      <c r="M25" s="0" t="str">
        <f aca="false">"171.4"</f>
        <v>171.4</v>
      </c>
    </row>
    <row r="26" customFormat="false" ht="14.65" hidden="false" customHeight="false" outlineLevel="0" collapsed="false">
      <c r="A26" s="0" t="s">
        <v>1318</v>
      </c>
      <c r="B26" s="0" t="s">
        <v>13</v>
      </c>
      <c r="C26" s="0" t="str">
        <f aca="false">"182-193"</f>
        <v>182-193</v>
      </c>
      <c r="D26" s="0" t="s">
        <v>13</v>
      </c>
      <c r="E26" s="0" t="str">
        <f aca="false">"329-340"</f>
        <v>329-340</v>
      </c>
      <c r="F26" s="0" t="s">
        <v>1343</v>
      </c>
      <c r="G26" s="0" t="s">
        <v>9</v>
      </c>
      <c r="H26" s="0" t="str">
        <f aca="false">"319-330"</f>
        <v>319-330</v>
      </c>
      <c r="I26" s="0" t="s">
        <v>9</v>
      </c>
      <c r="J26" s="0" t="str">
        <f aca="false">"238-249"</f>
        <v>238-249</v>
      </c>
      <c r="K26" s="0" t="str">
        <f aca="false">"0.91"</f>
        <v>0.91</v>
      </c>
      <c r="L26" s="0" t="str">
        <f aca="false">"10.59"</f>
        <v>10.59</v>
      </c>
      <c r="M26" s="0" t="str">
        <f aca="false">"171.1"</f>
        <v>171.1</v>
      </c>
    </row>
    <row r="27" customFormat="false" ht="14.65" hidden="false" customHeight="false" outlineLevel="0" collapsed="false">
      <c r="A27" s="0" t="s">
        <v>1318</v>
      </c>
      <c r="B27" s="0" t="s">
        <v>13</v>
      </c>
      <c r="C27" s="0" t="str">
        <f aca="false">"189-200"</f>
        <v>189-200</v>
      </c>
      <c r="D27" s="0" t="s">
        <v>13</v>
      </c>
      <c r="E27" s="0" t="str">
        <f aca="false">"322-333"</f>
        <v>322-333</v>
      </c>
      <c r="F27" s="0" t="s">
        <v>1344</v>
      </c>
      <c r="G27" s="0" t="s">
        <v>9</v>
      </c>
      <c r="H27" s="0" t="str">
        <f aca="false">"326-337"</f>
        <v>326-337</v>
      </c>
      <c r="I27" s="0" t="s">
        <v>9</v>
      </c>
      <c r="J27" s="0" t="str">
        <f aca="false">"297-308"</f>
        <v>297-308</v>
      </c>
      <c r="K27" s="0" t="str">
        <f aca="false">"0.88"</f>
        <v>0.88</v>
      </c>
      <c r="L27" s="0" t="str">
        <f aca="false">"9.66"</f>
        <v>9.66</v>
      </c>
      <c r="M27" s="0" t="str">
        <f aca="false">"170.9"</f>
        <v>170.9</v>
      </c>
    </row>
    <row r="28" customFormat="false" ht="14.65" hidden="false" customHeight="false" outlineLevel="0" collapsed="false">
      <c r="A28" s="0" t="s">
        <v>1318</v>
      </c>
      <c r="B28" s="0" t="s">
        <v>13</v>
      </c>
      <c r="C28" s="0" t="str">
        <f aca="false">"188-199"</f>
        <v>188-199</v>
      </c>
      <c r="D28" s="0" t="s">
        <v>13</v>
      </c>
      <c r="E28" s="0" t="str">
        <f aca="false">"322-333"</f>
        <v>322-333</v>
      </c>
      <c r="F28" s="0" t="s">
        <v>1345</v>
      </c>
      <c r="G28" s="0" t="s">
        <v>9</v>
      </c>
      <c r="H28" s="0" t="str">
        <f aca="false">"378-389"</f>
        <v>378-389</v>
      </c>
      <c r="I28" s="0" t="s">
        <v>9</v>
      </c>
      <c r="J28" s="0" t="str">
        <f aca="false">"294-305"</f>
        <v>294-305</v>
      </c>
      <c r="K28" s="0" t="str">
        <f aca="false">"0.96"</f>
        <v>0.96</v>
      </c>
      <c r="L28" s="0" t="str">
        <f aca="false">"11.32"</f>
        <v>11.32</v>
      </c>
      <c r="M28" s="0" t="str">
        <f aca="false">"170.4"</f>
        <v>170.4</v>
      </c>
    </row>
    <row r="29" customFormat="false" ht="14.65" hidden="false" customHeight="false" outlineLevel="0" collapsed="false">
      <c r="A29" s="0" t="s">
        <v>1318</v>
      </c>
      <c r="B29" s="0" t="s">
        <v>13</v>
      </c>
      <c r="C29" s="0" t="str">
        <f aca="false">"189-200"</f>
        <v>189-200</v>
      </c>
      <c r="D29" s="0" t="s">
        <v>13</v>
      </c>
      <c r="E29" s="0" t="str">
        <f aca="false">"322-333"</f>
        <v>322-333</v>
      </c>
      <c r="F29" s="0" t="s">
        <v>1346</v>
      </c>
      <c r="G29" s="0" t="s">
        <v>9</v>
      </c>
      <c r="H29" s="0" t="str">
        <f aca="false">"449-460"</f>
        <v>449-460</v>
      </c>
      <c r="I29" s="0" t="s">
        <v>9</v>
      </c>
      <c r="J29" s="0" t="str">
        <f aca="false">"471-482"</f>
        <v>471-482</v>
      </c>
      <c r="K29" s="0" t="str">
        <f aca="false">"1.01"</f>
        <v>1.01</v>
      </c>
      <c r="L29" s="0" t="str">
        <f aca="false">"11.00"</f>
        <v>11.00</v>
      </c>
      <c r="M29" s="0" t="str">
        <f aca="false">"170.3"</f>
        <v>170.3</v>
      </c>
    </row>
    <row r="30" customFormat="false" ht="14.65" hidden="false" customHeight="false" outlineLevel="0" collapsed="false">
      <c r="A30" s="0" t="s">
        <v>1318</v>
      </c>
      <c r="B30" s="0" t="s">
        <v>13</v>
      </c>
      <c r="C30" s="0" t="str">
        <f aca="false">"189-200"</f>
        <v>189-200</v>
      </c>
      <c r="D30" s="0" t="s">
        <v>13</v>
      </c>
      <c r="E30" s="0" t="str">
        <f aca="false">"322-333"</f>
        <v>322-333</v>
      </c>
      <c r="F30" s="0" t="s">
        <v>1347</v>
      </c>
      <c r="G30" s="0" t="s">
        <v>9</v>
      </c>
      <c r="H30" s="0" t="str">
        <f aca="false">"304-315"</f>
        <v>304-315</v>
      </c>
      <c r="I30" s="0" t="s">
        <v>9</v>
      </c>
      <c r="J30" s="0" t="str">
        <f aca="false">"363-374"</f>
        <v>363-374</v>
      </c>
      <c r="K30" s="0" t="str">
        <f aca="false">"1.10"</f>
        <v>1.10</v>
      </c>
      <c r="L30" s="0" t="str">
        <f aca="false">"10.63"</f>
        <v>10.63</v>
      </c>
      <c r="M30" s="0" t="str">
        <f aca="false">"170.1"</f>
        <v>170.1</v>
      </c>
    </row>
    <row r="31" customFormat="false" ht="14.65" hidden="false" customHeight="false" outlineLevel="0" collapsed="false">
      <c r="A31" s="0" t="s">
        <v>1318</v>
      </c>
      <c r="B31" s="0" t="s">
        <v>13</v>
      </c>
      <c r="C31" s="0" t="str">
        <f aca="false">"189-200"</f>
        <v>189-200</v>
      </c>
      <c r="D31" s="0" t="s">
        <v>13</v>
      </c>
      <c r="E31" s="0" t="str">
        <f aca="false">"322-333"</f>
        <v>322-333</v>
      </c>
      <c r="F31" s="0" t="s">
        <v>1348</v>
      </c>
      <c r="G31" s="0" t="s">
        <v>120</v>
      </c>
      <c r="H31" s="0" t="str">
        <f aca="false">"35-46"</f>
        <v>35-46</v>
      </c>
      <c r="I31" s="0" t="s">
        <v>13</v>
      </c>
      <c r="J31" s="0" t="str">
        <f aca="false">"19-30"</f>
        <v>19-30</v>
      </c>
      <c r="K31" s="0" t="str">
        <f aca="false">"1.02"</f>
        <v>1.02</v>
      </c>
      <c r="L31" s="0" t="str">
        <f aca="false">"11.29"</f>
        <v>11.29</v>
      </c>
      <c r="M31" s="0" t="str">
        <f aca="false">"170.0"</f>
        <v>170.0</v>
      </c>
    </row>
    <row r="32" customFormat="false" ht="14.65" hidden="false" customHeight="false" outlineLevel="0" collapsed="false">
      <c r="A32" s="0" t="s">
        <v>1318</v>
      </c>
      <c r="B32" s="0" t="s">
        <v>13</v>
      </c>
      <c r="C32" s="0" t="str">
        <f aca="false">"186-197"</f>
        <v>186-197</v>
      </c>
      <c r="D32" s="0" t="s">
        <v>13</v>
      </c>
      <c r="E32" s="0" t="str">
        <f aca="false">"325-336"</f>
        <v>325-336</v>
      </c>
      <c r="F32" s="0" t="s">
        <v>1349</v>
      </c>
      <c r="G32" s="0" t="s">
        <v>9</v>
      </c>
      <c r="H32" s="0" t="str">
        <f aca="false">"490-501"</f>
        <v>490-501</v>
      </c>
      <c r="I32" s="0" t="s">
        <v>9</v>
      </c>
      <c r="J32" s="0" t="str">
        <f aca="false">"396-407"</f>
        <v>396-407</v>
      </c>
      <c r="K32" s="0" t="str">
        <f aca="false">"0.79"</f>
        <v>0.79</v>
      </c>
      <c r="L32" s="0" t="str">
        <f aca="false">"10.57"</f>
        <v>10.57</v>
      </c>
      <c r="M32" s="0" t="str">
        <f aca="false">"170.0"</f>
        <v>170.0</v>
      </c>
    </row>
    <row r="33" customFormat="false" ht="14.65" hidden="false" customHeight="false" outlineLevel="0" collapsed="false">
      <c r="A33" s="0" t="s">
        <v>1318</v>
      </c>
      <c r="B33" s="0" t="s">
        <v>13</v>
      </c>
      <c r="C33" s="0" t="str">
        <f aca="false">"182-193"</f>
        <v>182-193</v>
      </c>
      <c r="D33" s="0" t="s">
        <v>13</v>
      </c>
      <c r="E33" s="0" t="str">
        <f aca="false">"329-340"</f>
        <v>329-340</v>
      </c>
      <c r="F33" s="0" t="s">
        <v>1350</v>
      </c>
      <c r="G33" s="0" t="s">
        <v>9</v>
      </c>
      <c r="H33" s="0" t="str">
        <f aca="false">"57-68"</f>
        <v>57-68</v>
      </c>
      <c r="I33" s="0" t="s">
        <v>9</v>
      </c>
      <c r="J33" s="0" t="str">
        <f aca="false">"81-92"</f>
        <v>81-92</v>
      </c>
      <c r="K33" s="0" t="str">
        <f aca="false">"1.01"</f>
        <v>1.01</v>
      </c>
      <c r="L33" s="0" t="str">
        <f aca="false">"9.69"</f>
        <v>9.69</v>
      </c>
      <c r="M33" s="0" t="str">
        <f aca="false">"169.8"</f>
        <v>169.8</v>
      </c>
    </row>
    <row r="34" customFormat="false" ht="14.65" hidden="false" customHeight="false" outlineLevel="0" collapsed="false">
      <c r="A34" s="0" t="s">
        <v>1318</v>
      </c>
      <c r="B34" s="0" t="s">
        <v>13</v>
      </c>
      <c r="C34" s="0" t="str">
        <f aca="false">"185-196"</f>
        <v>185-196</v>
      </c>
      <c r="D34" s="0" t="s">
        <v>13</v>
      </c>
      <c r="E34" s="0" t="str">
        <f aca="false">"327-338"</f>
        <v>327-338</v>
      </c>
      <c r="F34" s="0" t="s">
        <v>1351</v>
      </c>
      <c r="G34" s="0" t="s">
        <v>9</v>
      </c>
      <c r="H34" s="0" t="str">
        <f aca="false">"106-117"</f>
        <v>106-117</v>
      </c>
      <c r="I34" s="0" t="s">
        <v>9</v>
      </c>
      <c r="J34" s="0" t="str">
        <f aca="false">"56-67"</f>
        <v>56-67</v>
      </c>
      <c r="K34" s="0" t="str">
        <f aca="false">"0.94"</f>
        <v>0.94</v>
      </c>
      <c r="L34" s="0" t="str">
        <f aca="false">"9.99"</f>
        <v>9.99</v>
      </c>
      <c r="M34" s="0" t="str">
        <f aca="false">"169.8"</f>
        <v>169.8</v>
      </c>
    </row>
    <row r="35" customFormat="false" ht="14.65" hidden="false" customHeight="false" outlineLevel="0" collapsed="false">
      <c r="A35" s="0" t="s">
        <v>1318</v>
      </c>
      <c r="B35" s="0" t="s">
        <v>13</v>
      </c>
      <c r="C35" s="0" t="str">
        <f aca="false">"188-199"</f>
        <v>188-199</v>
      </c>
      <c r="D35" s="0" t="s">
        <v>13</v>
      </c>
      <c r="E35" s="0" t="str">
        <f aca="false">"331-342"</f>
        <v>331-342</v>
      </c>
      <c r="F35" s="0" t="s">
        <v>1352</v>
      </c>
      <c r="G35" s="0" t="s">
        <v>9</v>
      </c>
      <c r="H35" s="0" t="str">
        <f aca="false">"219-230"</f>
        <v>219-230</v>
      </c>
      <c r="I35" s="0" t="s">
        <v>9</v>
      </c>
      <c r="J35" s="0" t="str">
        <f aca="false">"117-128"</f>
        <v>117-128</v>
      </c>
      <c r="K35" s="0" t="str">
        <f aca="false">"1.07"</f>
        <v>1.07</v>
      </c>
      <c r="L35" s="0" t="str">
        <f aca="false">"12.68"</f>
        <v>12.68</v>
      </c>
      <c r="M35" s="0" t="str">
        <f aca="false">"169.8"</f>
        <v>169.8</v>
      </c>
    </row>
    <row r="36" customFormat="false" ht="14.65" hidden="false" customHeight="false" outlineLevel="0" collapsed="false">
      <c r="A36" s="0" t="s">
        <v>1318</v>
      </c>
      <c r="B36" s="0" t="s">
        <v>13</v>
      </c>
      <c r="C36" s="0" t="str">
        <f aca="false">"181-192"</f>
        <v>181-192</v>
      </c>
      <c r="D36" s="0" t="s">
        <v>13</v>
      </c>
      <c r="E36" s="0" t="str">
        <f aca="false">"332-343"</f>
        <v>332-343</v>
      </c>
      <c r="F36" s="0" t="s">
        <v>1353</v>
      </c>
      <c r="G36" s="0" t="s">
        <v>9</v>
      </c>
      <c r="H36" s="0" t="str">
        <f aca="false">"40-51"</f>
        <v>40-51</v>
      </c>
      <c r="I36" s="0" t="s">
        <v>70</v>
      </c>
      <c r="J36" s="0" t="str">
        <f aca="false">"51-62"</f>
        <v>51-62</v>
      </c>
      <c r="K36" s="0" t="str">
        <f aca="false">"1.12"</f>
        <v>1.12</v>
      </c>
      <c r="L36" s="0" t="str">
        <f aca="false">"12.26"</f>
        <v>12.26</v>
      </c>
      <c r="M36" s="0" t="str">
        <f aca="false">"169.6"</f>
        <v>169.6</v>
      </c>
    </row>
    <row r="37" customFormat="false" ht="14.65" hidden="false" customHeight="false" outlineLevel="0" collapsed="false">
      <c r="A37" s="0" t="s">
        <v>1318</v>
      </c>
      <c r="B37" s="0" t="s">
        <v>13</v>
      </c>
      <c r="C37" s="0" t="str">
        <f aca="false">"189-200"</f>
        <v>189-200</v>
      </c>
      <c r="D37" s="0" t="s">
        <v>13</v>
      </c>
      <c r="E37" s="0" t="str">
        <f aca="false">"322-333"</f>
        <v>322-333</v>
      </c>
      <c r="F37" s="0" t="s">
        <v>1354</v>
      </c>
      <c r="G37" s="0" t="s">
        <v>13</v>
      </c>
      <c r="H37" s="0" t="str">
        <f aca="false">"95-106"</f>
        <v>95-106</v>
      </c>
      <c r="I37" s="0" t="s">
        <v>13</v>
      </c>
      <c r="J37" s="0" t="str">
        <f aca="false">"29-40"</f>
        <v>29-40</v>
      </c>
      <c r="K37" s="0" t="str">
        <f aca="false">"0.75"</f>
        <v>0.75</v>
      </c>
      <c r="L37" s="0" t="str">
        <f aca="false">"10.27"</f>
        <v>10.27</v>
      </c>
      <c r="M37" s="0" t="str">
        <f aca="false">"169.6"</f>
        <v>169.6</v>
      </c>
    </row>
    <row r="38" customFormat="false" ht="14.65" hidden="false" customHeight="false" outlineLevel="0" collapsed="false">
      <c r="A38" s="0" t="s">
        <v>1318</v>
      </c>
      <c r="B38" s="0" t="s">
        <v>13</v>
      </c>
      <c r="C38" s="0" t="str">
        <f aca="false">"189-200"</f>
        <v>189-200</v>
      </c>
      <c r="D38" s="0" t="s">
        <v>13</v>
      </c>
      <c r="E38" s="0" t="str">
        <f aca="false">"322-333"</f>
        <v>322-333</v>
      </c>
      <c r="F38" s="0" t="s">
        <v>1355</v>
      </c>
      <c r="G38" s="0" t="s">
        <v>13</v>
      </c>
      <c r="H38" s="0" t="str">
        <f aca="false">"298-309"</f>
        <v>298-309</v>
      </c>
      <c r="I38" s="0" t="s">
        <v>13</v>
      </c>
      <c r="J38" s="0" t="str">
        <f aca="false">"316-327"</f>
        <v>316-327</v>
      </c>
      <c r="K38" s="0" t="str">
        <f aca="false">"1.09"</f>
        <v>1.09</v>
      </c>
      <c r="L38" s="0" t="str">
        <f aca="false">"9.67"</f>
        <v>9.67</v>
      </c>
      <c r="M38" s="0" t="str">
        <f aca="false">"169.2"</f>
        <v>169.2</v>
      </c>
    </row>
    <row r="39" customFormat="false" ht="14.65" hidden="false" customHeight="false" outlineLevel="0" collapsed="false">
      <c r="A39" s="0" t="s">
        <v>1318</v>
      </c>
      <c r="B39" s="0" t="s">
        <v>13</v>
      </c>
      <c r="C39" s="0" t="str">
        <f aca="false">"182-193"</f>
        <v>182-193</v>
      </c>
      <c r="D39" s="0" t="s">
        <v>13</v>
      </c>
      <c r="E39" s="0" t="str">
        <f aca="false">"329-340"</f>
        <v>329-340</v>
      </c>
      <c r="F39" s="0" t="s">
        <v>1356</v>
      </c>
      <c r="G39" s="0" t="s">
        <v>9</v>
      </c>
      <c r="H39" s="0" t="str">
        <f aca="false">"71-82"</f>
        <v>71-82</v>
      </c>
      <c r="I39" s="0" t="s">
        <v>9</v>
      </c>
      <c r="J39" s="0" t="str">
        <f aca="false">"231-242"</f>
        <v>231-242</v>
      </c>
      <c r="K39" s="0" t="str">
        <f aca="false">"1.04"</f>
        <v>1.04</v>
      </c>
      <c r="L39" s="0" t="str">
        <f aca="false">"10.41"</f>
        <v>10.41</v>
      </c>
      <c r="M39" s="0" t="str">
        <f aca="false">"169.1"</f>
        <v>169.1</v>
      </c>
    </row>
    <row r="40" customFormat="false" ht="14.65" hidden="false" customHeight="false" outlineLevel="0" collapsed="false">
      <c r="A40" s="0" t="s">
        <v>1318</v>
      </c>
      <c r="B40" s="0" t="s">
        <v>13</v>
      </c>
      <c r="C40" s="0" t="str">
        <f aca="false">"185-196"</f>
        <v>185-196</v>
      </c>
      <c r="D40" s="0" t="s">
        <v>13</v>
      </c>
      <c r="E40" s="0" t="str">
        <f aca="false">"326-337"</f>
        <v>326-337</v>
      </c>
      <c r="F40" s="0" t="s">
        <v>1357</v>
      </c>
      <c r="G40" s="0" t="s">
        <v>24</v>
      </c>
      <c r="H40" s="0" t="str">
        <f aca="false">"131-142"</f>
        <v>131-142</v>
      </c>
      <c r="I40" s="0" t="s">
        <v>24</v>
      </c>
      <c r="J40" s="0" t="str">
        <f aca="false">"159-170"</f>
        <v>159-170</v>
      </c>
      <c r="K40" s="0" t="str">
        <f aca="false">"1.08"</f>
        <v>1.08</v>
      </c>
      <c r="L40" s="0" t="str">
        <f aca="false">"9.88"</f>
        <v>9.88</v>
      </c>
      <c r="M40" s="0" t="str">
        <f aca="false">"168.6"</f>
        <v>168.6</v>
      </c>
    </row>
    <row r="41" customFormat="false" ht="14.65" hidden="false" customHeight="false" outlineLevel="0" collapsed="false">
      <c r="A41" s="0" t="s">
        <v>1318</v>
      </c>
      <c r="B41" s="0" t="s">
        <v>13</v>
      </c>
      <c r="C41" s="0" t="str">
        <f aca="false">"189-200"</f>
        <v>189-200</v>
      </c>
      <c r="D41" s="0" t="s">
        <v>13</v>
      </c>
      <c r="E41" s="0" t="str">
        <f aca="false">"324-335"</f>
        <v>324-335</v>
      </c>
      <c r="F41" s="0" t="s">
        <v>1358</v>
      </c>
      <c r="G41" s="0" t="s">
        <v>9</v>
      </c>
      <c r="H41" s="0" t="str">
        <f aca="false">"309-320"</f>
        <v>309-320</v>
      </c>
      <c r="I41" s="0" t="s">
        <v>9</v>
      </c>
      <c r="J41" s="0" t="str">
        <f aca="false">"349-360"</f>
        <v>349-360</v>
      </c>
      <c r="K41" s="0" t="str">
        <f aca="false">"0.87"</f>
        <v>0.87</v>
      </c>
      <c r="L41" s="0" t="str">
        <f aca="false">"10.45"</f>
        <v>10.45</v>
      </c>
      <c r="M41" s="0" t="str">
        <f aca="false">"168.5"</f>
        <v>168.5</v>
      </c>
    </row>
    <row r="42" customFormat="false" ht="14.65" hidden="false" customHeight="false" outlineLevel="0" collapsed="false">
      <c r="A42" s="0" t="s">
        <v>1318</v>
      </c>
      <c r="B42" s="0" t="s">
        <v>13</v>
      </c>
      <c r="C42" s="0" t="str">
        <f aca="false">"181-192"</f>
        <v>181-192</v>
      </c>
      <c r="D42" s="0" t="s">
        <v>13</v>
      </c>
      <c r="E42" s="0" t="str">
        <f aca="false">"329-340"</f>
        <v>329-340</v>
      </c>
      <c r="F42" s="0" t="s">
        <v>1359</v>
      </c>
      <c r="G42" s="0" t="s">
        <v>13</v>
      </c>
      <c r="H42" s="0" t="str">
        <f aca="false">"163-174"</f>
        <v>163-174</v>
      </c>
      <c r="I42" s="0" t="s">
        <v>9</v>
      </c>
      <c r="J42" s="0" t="str">
        <f aca="false">"155-166"</f>
        <v>155-166</v>
      </c>
      <c r="K42" s="0" t="str">
        <f aca="false">"1.07"</f>
        <v>1.07</v>
      </c>
      <c r="L42" s="0" t="str">
        <f aca="false">"11.52"</f>
        <v>11.52</v>
      </c>
      <c r="M42" s="0" t="str">
        <f aca="false">"167.7"</f>
        <v>167.7</v>
      </c>
    </row>
    <row r="43" customFormat="false" ht="14.65" hidden="false" customHeight="false" outlineLevel="0" collapsed="false">
      <c r="A43" s="0" t="s">
        <v>1318</v>
      </c>
      <c r="B43" s="0" t="s">
        <v>13</v>
      </c>
      <c r="C43" s="0" t="str">
        <f aca="false">"182-193"</f>
        <v>182-193</v>
      </c>
      <c r="D43" s="0" t="s">
        <v>13</v>
      </c>
      <c r="E43" s="0" t="str">
        <f aca="false">"329-340"</f>
        <v>329-340</v>
      </c>
      <c r="F43" s="0" t="s">
        <v>1360</v>
      </c>
      <c r="G43" s="0" t="s">
        <v>9</v>
      </c>
      <c r="H43" s="0" t="str">
        <f aca="false">"77-88"</f>
        <v>77-88</v>
      </c>
      <c r="I43" s="0" t="s">
        <v>9</v>
      </c>
      <c r="J43" s="0" t="str">
        <f aca="false">"95-106"</f>
        <v>95-106</v>
      </c>
      <c r="K43" s="0" t="str">
        <f aca="false">"0.60"</f>
        <v>0.60</v>
      </c>
      <c r="L43" s="0" t="str">
        <f aca="false">"10.13"</f>
        <v>10.13</v>
      </c>
      <c r="M43" s="0" t="str">
        <f aca="false">"167.5"</f>
        <v>167.5</v>
      </c>
    </row>
    <row r="44" customFormat="false" ht="14.65" hidden="false" customHeight="false" outlineLevel="0" collapsed="false">
      <c r="A44" s="0" t="s">
        <v>1318</v>
      </c>
      <c r="B44" s="0" t="s">
        <v>13</v>
      </c>
      <c r="C44" s="0" t="str">
        <f aca="false">"180-191"</f>
        <v>180-191</v>
      </c>
      <c r="D44" s="0" t="s">
        <v>13</v>
      </c>
      <c r="E44" s="0" t="str">
        <f aca="false">"324-335"</f>
        <v>324-335</v>
      </c>
      <c r="F44" s="0" t="s">
        <v>1361</v>
      </c>
      <c r="G44" s="0" t="s">
        <v>9</v>
      </c>
      <c r="H44" s="0" t="str">
        <f aca="false">"166-177"</f>
        <v>166-177</v>
      </c>
      <c r="I44" s="0" t="s">
        <v>9</v>
      </c>
      <c r="J44" s="0" t="str">
        <f aca="false">"80-91"</f>
        <v>80-91</v>
      </c>
      <c r="K44" s="0" t="str">
        <f aca="false">"0.97"</f>
        <v>0.97</v>
      </c>
      <c r="L44" s="0" t="str">
        <f aca="false">"15.30"</f>
        <v>15.30</v>
      </c>
      <c r="M44" s="0" t="str">
        <f aca="false">"167.5"</f>
        <v>167.5</v>
      </c>
    </row>
    <row r="45" customFormat="false" ht="14.65" hidden="false" customHeight="false" outlineLevel="0" collapsed="false">
      <c r="A45" s="0" t="s">
        <v>1318</v>
      </c>
      <c r="B45" s="0" t="s">
        <v>13</v>
      </c>
      <c r="C45" s="0" t="str">
        <f aca="false">"185-196"</f>
        <v>185-196</v>
      </c>
      <c r="D45" s="0" t="s">
        <v>13</v>
      </c>
      <c r="E45" s="0" t="str">
        <f aca="false">"325-336"</f>
        <v>325-336</v>
      </c>
      <c r="F45" s="0" t="s">
        <v>1362</v>
      </c>
      <c r="G45" s="0" t="s">
        <v>13</v>
      </c>
      <c r="H45" s="0" t="str">
        <f aca="false">"198-209"</f>
        <v>198-209</v>
      </c>
      <c r="I45" s="0" t="s">
        <v>13</v>
      </c>
      <c r="J45" s="0" t="str">
        <f aca="false">"161-172"</f>
        <v>161-172</v>
      </c>
      <c r="K45" s="0" t="str">
        <f aca="false">"1.09"</f>
        <v>1.09</v>
      </c>
      <c r="L45" s="0" t="str">
        <f aca="false">"10.86"</f>
        <v>10.86</v>
      </c>
      <c r="M45" s="0" t="str">
        <f aca="false">"167.4"</f>
        <v>167.4</v>
      </c>
    </row>
    <row r="46" customFormat="false" ht="14.65" hidden="false" customHeight="false" outlineLevel="0" collapsed="false">
      <c r="A46" s="0" t="s">
        <v>1318</v>
      </c>
      <c r="B46" s="0" t="s">
        <v>13</v>
      </c>
      <c r="C46" s="0" t="str">
        <f aca="false">"182-193"</f>
        <v>182-193</v>
      </c>
      <c r="D46" s="0" t="s">
        <v>13</v>
      </c>
      <c r="E46" s="0" t="str">
        <f aca="false">"329-340"</f>
        <v>329-340</v>
      </c>
      <c r="F46" s="0" t="s">
        <v>1363</v>
      </c>
      <c r="G46" s="0" t="s">
        <v>9</v>
      </c>
      <c r="H46" s="0" t="str">
        <f aca="false">"257-268"</f>
        <v>257-268</v>
      </c>
      <c r="I46" s="0" t="s">
        <v>9</v>
      </c>
      <c r="J46" s="0" t="str">
        <f aca="false">"357-368"</f>
        <v>357-368</v>
      </c>
      <c r="K46" s="0" t="str">
        <f aca="false">"1.06"</f>
        <v>1.06</v>
      </c>
      <c r="L46" s="0" t="str">
        <f aca="false">"11.22"</f>
        <v>11.22</v>
      </c>
      <c r="M46" s="0" t="str">
        <f aca="false">"167.0"</f>
        <v>167.0</v>
      </c>
    </row>
    <row r="47" customFormat="false" ht="14.65" hidden="false" customHeight="false" outlineLevel="0" collapsed="false">
      <c r="A47" s="0" t="s">
        <v>1318</v>
      </c>
      <c r="B47" s="0" t="s">
        <v>13</v>
      </c>
      <c r="C47" s="0" t="str">
        <f aca="false">"189-200"</f>
        <v>189-200</v>
      </c>
      <c r="D47" s="0" t="s">
        <v>13</v>
      </c>
      <c r="E47" s="0" t="str">
        <f aca="false">"322-333"</f>
        <v>322-333</v>
      </c>
      <c r="F47" s="0" t="s">
        <v>1364</v>
      </c>
      <c r="G47" s="0" t="s">
        <v>9</v>
      </c>
      <c r="H47" s="0" t="str">
        <f aca="false">"92-103"</f>
        <v>92-103</v>
      </c>
      <c r="I47" s="0" t="s">
        <v>9</v>
      </c>
      <c r="J47" s="0" t="str">
        <f aca="false">"177-188"</f>
        <v>177-188</v>
      </c>
      <c r="K47" s="0" t="str">
        <f aca="false">"1.13"</f>
        <v>1.13</v>
      </c>
      <c r="L47" s="0" t="str">
        <f aca="false">"10.20"</f>
        <v>10.20</v>
      </c>
      <c r="M47" s="0" t="str">
        <f aca="false">"167.0"</f>
        <v>167.0</v>
      </c>
    </row>
    <row r="48" customFormat="false" ht="14.65" hidden="false" customHeight="false" outlineLevel="0" collapsed="false">
      <c r="A48" s="0" t="s">
        <v>1318</v>
      </c>
      <c r="B48" s="0" t="s">
        <v>13</v>
      </c>
      <c r="C48" s="0" t="str">
        <f aca="false">"189-200"</f>
        <v>189-200</v>
      </c>
      <c r="D48" s="0" t="s">
        <v>13</v>
      </c>
      <c r="E48" s="0" t="str">
        <f aca="false">"325-336"</f>
        <v>325-336</v>
      </c>
      <c r="F48" s="0" t="s">
        <v>1365</v>
      </c>
      <c r="G48" s="0" t="s">
        <v>9</v>
      </c>
      <c r="H48" s="0" t="str">
        <f aca="false">"189-200"</f>
        <v>189-200</v>
      </c>
      <c r="I48" s="0" t="s">
        <v>9</v>
      </c>
      <c r="J48" s="0" t="str">
        <f aca="false">"130-141"</f>
        <v>130-141</v>
      </c>
      <c r="K48" s="0" t="str">
        <f aca="false">"0.98"</f>
        <v>0.98</v>
      </c>
      <c r="L48" s="0" t="str">
        <f aca="false">"10.78"</f>
        <v>10.78</v>
      </c>
      <c r="M48" s="0" t="str">
        <f aca="false">"166.5"</f>
        <v>166.5</v>
      </c>
    </row>
    <row r="49" customFormat="false" ht="14.65" hidden="false" customHeight="false" outlineLevel="0" collapsed="false">
      <c r="A49" s="0" t="s">
        <v>1318</v>
      </c>
      <c r="B49" s="0" t="s">
        <v>13</v>
      </c>
      <c r="C49" s="0" t="str">
        <f aca="false">"189-200"</f>
        <v>189-200</v>
      </c>
      <c r="D49" s="0" t="s">
        <v>13</v>
      </c>
      <c r="E49" s="0" t="str">
        <f aca="false">"322-333"</f>
        <v>322-333</v>
      </c>
      <c r="F49" s="0" t="s">
        <v>1366</v>
      </c>
      <c r="G49" s="0" t="s">
        <v>9</v>
      </c>
      <c r="H49" s="0" t="str">
        <f aca="false">"111-122"</f>
        <v>111-122</v>
      </c>
      <c r="I49" s="0" t="s">
        <v>9</v>
      </c>
      <c r="J49" s="0" t="str">
        <f aca="false">"79-90"</f>
        <v>79-90</v>
      </c>
      <c r="K49" s="0" t="str">
        <f aca="false">"0.84"</f>
        <v>0.84</v>
      </c>
      <c r="L49" s="0" t="str">
        <f aca="false">"9.81"</f>
        <v>9.81</v>
      </c>
      <c r="M49" s="0" t="str">
        <f aca="false">"165.9"</f>
        <v>165.9</v>
      </c>
    </row>
    <row r="50" customFormat="false" ht="14.65" hidden="false" customHeight="false" outlineLevel="0" collapsed="false">
      <c r="A50" s="0" t="s">
        <v>1318</v>
      </c>
      <c r="B50" s="0" t="s">
        <v>13</v>
      </c>
      <c r="C50" s="0" t="str">
        <f aca="false">"188-199"</f>
        <v>188-199</v>
      </c>
      <c r="D50" s="0" t="s">
        <v>13</v>
      </c>
      <c r="E50" s="0" t="str">
        <f aca="false">"325-336"</f>
        <v>325-336</v>
      </c>
      <c r="F50" s="0" t="s">
        <v>1367</v>
      </c>
      <c r="G50" s="0" t="s">
        <v>120</v>
      </c>
      <c r="H50" s="0" t="str">
        <f aca="false">"217-228"</f>
        <v>217-228</v>
      </c>
      <c r="I50" s="0" t="s">
        <v>9</v>
      </c>
      <c r="J50" s="0" t="str">
        <f aca="false">"220-231"</f>
        <v>220-231</v>
      </c>
      <c r="K50" s="0" t="str">
        <f aca="false">"0.65"</f>
        <v>0.65</v>
      </c>
      <c r="L50" s="0" t="str">
        <f aca="false">"10.34"</f>
        <v>10.34</v>
      </c>
      <c r="M50" s="0" t="str">
        <f aca="false">"165.8"</f>
        <v>165.8</v>
      </c>
    </row>
    <row r="51" customFormat="false" ht="14.65" hidden="false" customHeight="false" outlineLevel="0" collapsed="false">
      <c r="A51" s="0" t="s">
        <v>1318</v>
      </c>
      <c r="B51" s="0" t="s">
        <v>13</v>
      </c>
      <c r="C51" s="0" t="str">
        <f aca="false">"182-193"</f>
        <v>182-193</v>
      </c>
      <c r="D51" s="0" t="s">
        <v>13</v>
      </c>
      <c r="E51" s="0" t="str">
        <f aca="false">"329-340"</f>
        <v>329-340</v>
      </c>
      <c r="F51" s="0" t="s">
        <v>1368</v>
      </c>
      <c r="G51" s="0" t="s">
        <v>9</v>
      </c>
      <c r="H51" s="0" t="str">
        <f aca="false">"382-393"</f>
        <v>382-393</v>
      </c>
      <c r="I51" s="0" t="s">
        <v>9</v>
      </c>
      <c r="J51" s="0" t="str">
        <f aca="false">"302-313"</f>
        <v>302-313</v>
      </c>
      <c r="K51" s="0" t="str">
        <f aca="false">"1.21"</f>
        <v>1.21</v>
      </c>
      <c r="L51" s="0" t="str">
        <f aca="false">"10.74"</f>
        <v>10.74</v>
      </c>
      <c r="M51" s="0" t="str">
        <f aca="false">"165.5"</f>
        <v>165.5</v>
      </c>
    </row>
    <row r="52" customFormat="false" ht="14.65" hidden="false" customHeight="false" outlineLevel="0" collapsed="false">
      <c r="A52" s="0" t="s">
        <v>1318</v>
      </c>
      <c r="B52" s="0" t="s">
        <v>13</v>
      </c>
      <c r="C52" s="0" t="str">
        <f aca="false">"186-197"</f>
        <v>186-197</v>
      </c>
      <c r="D52" s="0" t="s">
        <v>13</v>
      </c>
      <c r="E52" s="0" t="str">
        <f aca="false">"325-336"</f>
        <v>325-336</v>
      </c>
      <c r="F52" s="0" t="s">
        <v>1369</v>
      </c>
      <c r="G52" s="0" t="s">
        <v>71</v>
      </c>
      <c r="H52" s="0" t="str">
        <f aca="false">"89-100"</f>
        <v>89-100</v>
      </c>
      <c r="I52" s="0" t="s">
        <v>71</v>
      </c>
      <c r="J52" s="0" t="str">
        <f aca="false">"134-145"</f>
        <v>134-145</v>
      </c>
      <c r="K52" s="0" t="str">
        <f aca="false">"1.12"</f>
        <v>1.12</v>
      </c>
      <c r="L52" s="0" t="str">
        <f aca="false">"9.93"</f>
        <v>9.93</v>
      </c>
      <c r="M52" s="0" t="str">
        <f aca="false">"165.3"</f>
        <v>165.3</v>
      </c>
    </row>
    <row r="53" customFormat="false" ht="14.65" hidden="false" customHeight="false" outlineLevel="0" collapsed="false">
      <c r="A53" s="0" t="s">
        <v>1318</v>
      </c>
      <c r="B53" s="0" t="s">
        <v>13</v>
      </c>
      <c r="C53" s="0" t="str">
        <f aca="false">"189-200"</f>
        <v>189-200</v>
      </c>
      <c r="D53" s="0" t="s">
        <v>13</v>
      </c>
      <c r="E53" s="0" t="str">
        <f aca="false">"322-333"</f>
        <v>322-333</v>
      </c>
      <c r="F53" s="0" t="s">
        <v>1370</v>
      </c>
      <c r="G53" s="0" t="s">
        <v>13</v>
      </c>
      <c r="H53" s="0" t="str">
        <f aca="false">"95-106"</f>
        <v>95-106</v>
      </c>
      <c r="I53" s="0" t="s">
        <v>13</v>
      </c>
      <c r="J53" s="0" t="str">
        <f aca="false">"213-224"</f>
        <v>213-224</v>
      </c>
      <c r="K53" s="0" t="str">
        <f aca="false">"1.21"</f>
        <v>1.21</v>
      </c>
      <c r="L53" s="0" t="str">
        <f aca="false">"11.61"</f>
        <v>11.61</v>
      </c>
      <c r="M53" s="0" t="str">
        <f aca="false">"165.2"</f>
        <v>165.2</v>
      </c>
    </row>
    <row r="54" customFormat="false" ht="14.65" hidden="false" customHeight="false" outlineLevel="0" collapsed="false">
      <c r="A54" s="0" t="s">
        <v>1318</v>
      </c>
      <c r="B54" s="0" t="s">
        <v>13</v>
      </c>
      <c r="C54" s="0" t="str">
        <f aca="false">"185-196"</f>
        <v>185-196</v>
      </c>
      <c r="D54" s="0" t="s">
        <v>13</v>
      </c>
      <c r="E54" s="0" t="str">
        <f aca="false">"330-341"</f>
        <v>330-341</v>
      </c>
      <c r="F54" s="0" t="s">
        <v>1371</v>
      </c>
      <c r="G54" s="0" t="s">
        <v>13</v>
      </c>
      <c r="H54" s="0" t="str">
        <f aca="false">"88-99"</f>
        <v>88-99</v>
      </c>
      <c r="I54" s="0" t="s">
        <v>9</v>
      </c>
      <c r="J54" s="0" t="str">
        <f aca="false">"66-77"</f>
        <v>66-77</v>
      </c>
      <c r="K54" s="0" t="str">
        <f aca="false">"1.07"</f>
        <v>1.07</v>
      </c>
      <c r="L54" s="0" t="str">
        <f aca="false">"9.59"</f>
        <v>9.59</v>
      </c>
      <c r="M54" s="0" t="str">
        <f aca="false">"165.2"</f>
        <v>165.2</v>
      </c>
    </row>
    <row r="55" customFormat="false" ht="14.65" hidden="false" customHeight="false" outlineLevel="0" collapsed="false">
      <c r="A55" s="0" t="s">
        <v>1318</v>
      </c>
      <c r="B55" s="0" t="s">
        <v>13</v>
      </c>
      <c r="C55" s="0" t="str">
        <f aca="false">"189-200"</f>
        <v>189-200</v>
      </c>
      <c r="D55" s="0" t="s">
        <v>13</v>
      </c>
      <c r="E55" s="0" t="str">
        <f aca="false">"322-333"</f>
        <v>322-333</v>
      </c>
      <c r="F55" s="0" t="s">
        <v>1372</v>
      </c>
      <c r="G55" s="0" t="s">
        <v>13</v>
      </c>
      <c r="H55" s="0" t="str">
        <f aca="false">"85-96"</f>
        <v>85-96</v>
      </c>
      <c r="I55" s="0" t="s">
        <v>13</v>
      </c>
      <c r="J55" s="0" t="str">
        <f aca="false">"186-197"</f>
        <v>186-197</v>
      </c>
      <c r="K55" s="0" t="str">
        <f aca="false">"1.09"</f>
        <v>1.09</v>
      </c>
      <c r="L55" s="0" t="str">
        <f aca="false">"10.32"</f>
        <v>10.32</v>
      </c>
      <c r="M55" s="0" t="str">
        <f aca="false">"165.1"</f>
        <v>165.1</v>
      </c>
    </row>
    <row r="56" customFormat="false" ht="14.65" hidden="false" customHeight="false" outlineLevel="0" collapsed="false">
      <c r="A56" s="0" t="s">
        <v>1318</v>
      </c>
      <c r="B56" s="0" t="s">
        <v>13</v>
      </c>
      <c r="C56" s="0" t="str">
        <f aca="false">"182-193"</f>
        <v>182-193</v>
      </c>
      <c r="D56" s="0" t="s">
        <v>13</v>
      </c>
      <c r="E56" s="0" t="str">
        <f aca="false">"329-340"</f>
        <v>329-340</v>
      </c>
      <c r="F56" s="0" t="s">
        <v>1373</v>
      </c>
      <c r="G56" s="0" t="s">
        <v>13</v>
      </c>
      <c r="H56" s="0" t="str">
        <f aca="false">"184-195"</f>
        <v>184-195</v>
      </c>
      <c r="I56" s="0" t="s">
        <v>13</v>
      </c>
      <c r="J56" s="0" t="str">
        <f aca="false">"147-158"</f>
        <v>147-158</v>
      </c>
      <c r="K56" s="0" t="str">
        <f aca="false">"1.12"</f>
        <v>1.12</v>
      </c>
      <c r="L56" s="0" t="str">
        <f aca="false">"10.97"</f>
        <v>10.97</v>
      </c>
      <c r="M56" s="0" t="str">
        <f aca="false">"165.0"</f>
        <v>165.0</v>
      </c>
    </row>
    <row r="57" customFormat="false" ht="14.65" hidden="false" customHeight="false" outlineLevel="0" collapsed="false">
      <c r="A57" s="0" t="s">
        <v>1318</v>
      </c>
      <c r="B57" s="0" t="s">
        <v>13</v>
      </c>
      <c r="C57" s="0" t="str">
        <f aca="false">"185-196"</f>
        <v>185-196</v>
      </c>
      <c r="D57" s="0" t="s">
        <v>13</v>
      </c>
      <c r="E57" s="0" t="str">
        <f aca="false">"332-343"</f>
        <v>332-343</v>
      </c>
      <c r="F57" s="0" t="s">
        <v>1374</v>
      </c>
      <c r="G57" s="0" t="s">
        <v>13</v>
      </c>
      <c r="H57" s="0" t="str">
        <f aca="false">"127-138"</f>
        <v>127-138</v>
      </c>
      <c r="I57" s="0" t="s">
        <v>9</v>
      </c>
      <c r="J57" s="0" t="str">
        <f aca="false">"127-138"</f>
        <v>127-138</v>
      </c>
      <c r="K57" s="0" t="str">
        <f aca="false">"0.97"</f>
        <v>0.97</v>
      </c>
      <c r="L57" s="0" t="str">
        <f aca="false">"11.19"</f>
        <v>11.19</v>
      </c>
      <c r="M57" s="0" t="str">
        <f aca="false">"165.0"</f>
        <v>165.0</v>
      </c>
    </row>
    <row r="58" customFormat="false" ht="14.65" hidden="false" customHeight="false" outlineLevel="0" collapsed="false">
      <c r="A58" s="0" t="s">
        <v>1318</v>
      </c>
      <c r="B58" s="0" t="s">
        <v>13</v>
      </c>
      <c r="C58" s="0" t="str">
        <f aca="false">"189-200"</f>
        <v>189-200</v>
      </c>
      <c r="D58" s="0" t="s">
        <v>13</v>
      </c>
      <c r="E58" s="0" t="str">
        <f aca="false">"322-333"</f>
        <v>322-333</v>
      </c>
      <c r="F58" s="0" t="s">
        <v>1375</v>
      </c>
      <c r="G58" s="0" t="s">
        <v>13</v>
      </c>
      <c r="H58" s="0" t="str">
        <f aca="false">"156-167"</f>
        <v>156-167</v>
      </c>
      <c r="I58" s="0" t="s">
        <v>13</v>
      </c>
      <c r="J58" s="0" t="str">
        <f aca="false">"177-188"</f>
        <v>177-188</v>
      </c>
      <c r="K58" s="0" t="str">
        <f aca="false">"1.21"</f>
        <v>1.21</v>
      </c>
      <c r="L58" s="0" t="str">
        <f aca="false">"11.28"</f>
        <v>11.28</v>
      </c>
      <c r="M58" s="0" t="str">
        <f aca="false">"164.9"</f>
        <v>164.9</v>
      </c>
    </row>
    <row r="59" customFormat="false" ht="14.65" hidden="false" customHeight="false" outlineLevel="0" collapsed="false">
      <c r="A59" s="0" t="s">
        <v>1318</v>
      </c>
      <c r="B59" s="0" t="s">
        <v>13</v>
      </c>
      <c r="C59" s="0" t="str">
        <f aca="false">"181-192"</f>
        <v>181-192</v>
      </c>
      <c r="D59" s="0" t="s">
        <v>13</v>
      </c>
      <c r="E59" s="0" t="str">
        <f aca="false">"329-340"</f>
        <v>329-340</v>
      </c>
      <c r="F59" s="0" t="s">
        <v>1376</v>
      </c>
      <c r="G59" s="0" t="s">
        <v>9</v>
      </c>
      <c r="H59" s="0" t="str">
        <f aca="false">"11-22"</f>
        <v>11-22</v>
      </c>
      <c r="I59" s="0" t="s">
        <v>13</v>
      </c>
      <c r="J59" s="0" t="str">
        <f aca="false">"8-19"</f>
        <v>8-19</v>
      </c>
      <c r="K59" s="0" t="str">
        <f aca="false">"0.94"</f>
        <v>0.94</v>
      </c>
      <c r="L59" s="0" t="str">
        <f aca="false">"11.76"</f>
        <v>11.76</v>
      </c>
      <c r="M59" s="0" t="str">
        <f aca="false">"164.8"</f>
        <v>164.8</v>
      </c>
    </row>
    <row r="60" customFormat="false" ht="14.65" hidden="false" customHeight="false" outlineLevel="0" collapsed="false">
      <c r="A60" s="0" t="s">
        <v>1318</v>
      </c>
      <c r="B60" s="0" t="s">
        <v>13</v>
      </c>
      <c r="C60" s="0" t="str">
        <f aca="false">"188-199"</f>
        <v>188-199</v>
      </c>
      <c r="D60" s="0" t="s">
        <v>13</v>
      </c>
      <c r="E60" s="0" t="str">
        <f aca="false">"325-336"</f>
        <v>325-336</v>
      </c>
      <c r="F60" s="0" t="s">
        <v>1377</v>
      </c>
      <c r="G60" s="0" t="s">
        <v>9</v>
      </c>
      <c r="H60" s="0" t="str">
        <f aca="false">"72-83"</f>
        <v>72-83</v>
      </c>
      <c r="I60" s="0" t="s">
        <v>9</v>
      </c>
      <c r="J60" s="0" t="str">
        <f aca="false">"90-101"</f>
        <v>90-101</v>
      </c>
      <c r="K60" s="0" t="str">
        <f aca="false">"0.59"</f>
        <v>0.59</v>
      </c>
      <c r="L60" s="0" t="str">
        <f aca="false">"9.99"</f>
        <v>9.99</v>
      </c>
      <c r="M60" s="0" t="str">
        <f aca="false">"164.7"</f>
        <v>164.7</v>
      </c>
    </row>
    <row r="61" customFormat="false" ht="14.65" hidden="false" customHeight="false" outlineLevel="0" collapsed="false">
      <c r="A61" s="0" t="s">
        <v>1318</v>
      </c>
      <c r="B61" s="0" t="s">
        <v>13</v>
      </c>
      <c r="C61" s="0" t="str">
        <f aca="false">"185-196"</f>
        <v>185-196</v>
      </c>
      <c r="D61" s="0" t="s">
        <v>13</v>
      </c>
      <c r="E61" s="0" t="str">
        <f aca="false">"325-336"</f>
        <v>325-336</v>
      </c>
      <c r="F61" s="0" t="s">
        <v>1378</v>
      </c>
      <c r="G61" s="0" t="s">
        <v>120</v>
      </c>
      <c r="H61" s="0" t="str">
        <f aca="false">"229-240"</f>
        <v>229-240</v>
      </c>
      <c r="I61" s="0" t="s">
        <v>13</v>
      </c>
      <c r="J61" s="0" t="str">
        <f aca="false">"79-90"</f>
        <v>79-90</v>
      </c>
      <c r="K61" s="0" t="str">
        <f aca="false">"1.19"</f>
        <v>1.19</v>
      </c>
      <c r="L61" s="0" t="str">
        <f aca="false">"10.38"</f>
        <v>10.38</v>
      </c>
      <c r="M61" s="0" t="str">
        <f aca="false">"164.6"</f>
        <v>164.6</v>
      </c>
    </row>
    <row r="62" customFormat="false" ht="14.65" hidden="false" customHeight="false" outlineLevel="0" collapsed="false">
      <c r="A62" s="0" t="s">
        <v>1318</v>
      </c>
      <c r="B62" s="0" t="s">
        <v>13</v>
      </c>
      <c r="C62" s="0" t="str">
        <f aca="false">"189-200"</f>
        <v>189-200</v>
      </c>
      <c r="D62" s="0" t="s">
        <v>13</v>
      </c>
      <c r="E62" s="0" t="str">
        <f aca="false">"323-334"</f>
        <v>323-334</v>
      </c>
      <c r="F62" s="0" t="s">
        <v>1379</v>
      </c>
      <c r="G62" s="0" t="s">
        <v>9</v>
      </c>
      <c r="H62" s="0" t="str">
        <f aca="false">"150-161"</f>
        <v>150-161</v>
      </c>
      <c r="I62" s="0" t="s">
        <v>9</v>
      </c>
      <c r="J62" s="0" t="str">
        <f aca="false">"93-104"</f>
        <v>93-104</v>
      </c>
      <c r="K62" s="0" t="str">
        <f aca="false">"1.05"</f>
        <v>1.05</v>
      </c>
      <c r="L62" s="0" t="str">
        <f aca="false">"10.69"</f>
        <v>10.69</v>
      </c>
      <c r="M62" s="0" t="str">
        <f aca="false">"164.6"</f>
        <v>164.6</v>
      </c>
    </row>
    <row r="63" customFormat="false" ht="14.65" hidden="false" customHeight="false" outlineLevel="0" collapsed="false">
      <c r="A63" s="0" t="s">
        <v>1318</v>
      </c>
      <c r="B63" s="0" t="s">
        <v>13</v>
      </c>
      <c r="C63" s="0" t="str">
        <f aca="false">"189-200"</f>
        <v>189-200</v>
      </c>
      <c r="D63" s="0" t="s">
        <v>13</v>
      </c>
      <c r="E63" s="0" t="str">
        <f aca="false">"322-333"</f>
        <v>322-333</v>
      </c>
      <c r="F63" s="0" t="s">
        <v>1380</v>
      </c>
      <c r="G63" s="0" t="s">
        <v>9</v>
      </c>
      <c r="H63" s="0" t="str">
        <f aca="false">"319-330"</f>
        <v>319-330</v>
      </c>
      <c r="I63" s="0" t="s">
        <v>9</v>
      </c>
      <c r="J63" s="0" t="str">
        <f aca="false">"259-270"</f>
        <v>259-270</v>
      </c>
      <c r="K63" s="0" t="str">
        <f aca="false">"0.80"</f>
        <v>0.80</v>
      </c>
      <c r="L63" s="0" t="str">
        <f aca="false">"9.86"</f>
        <v>9.86</v>
      </c>
      <c r="M63" s="0" t="str">
        <f aca="false">"164.4"</f>
        <v>164.4</v>
      </c>
    </row>
    <row r="64" customFormat="false" ht="14.65" hidden="false" customHeight="false" outlineLevel="0" collapsed="false">
      <c r="A64" s="0" t="s">
        <v>1318</v>
      </c>
      <c r="B64" s="0" t="s">
        <v>13</v>
      </c>
      <c r="C64" s="0" t="str">
        <f aca="false">"189-200"</f>
        <v>189-200</v>
      </c>
      <c r="D64" s="0" t="s">
        <v>13</v>
      </c>
      <c r="E64" s="0" t="str">
        <f aca="false">"323-334"</f>
        <v>323-334</v>
      </c>
      <c r="F64" s="0" t="s">
        <v>1381</v>
      </c>
      <c r="G64" s="0" t="s">
        <v>13</v>
      </c>
      <c r="H64" s="0" t="str">
        <f aca="false">"94-105"</f>
        <v>94-105</v>
      </c>
      <c r="I64" s="0" t="s">
        <v>9</v>
      </c>
      <c r="J64" s="0" t="str">
        <f aca="false">"81-92"</f>
        <v>81-92</v>
      </c>
      <c r="K64" s="0" t="str">
        <f aca="false">"1.05"</f>
        <v>1.05</v>
      </c>
      <c r="L64" s="0" t="str">
        <f aca="false">"10.75"</f>
        <v>10.75</v>
      </c>
      <c r="M64" s="0" t="str">
        <f aca="false">"164.2"</f>
        <v>164.2</v>
      </c>
    </row>
    <row r="65" customFormat="false" ht="14.65" hidden="false" customHeight="false" outlineLevel="0" collapsed="false">
      <c r="A65" s="0" t="s">
        <v>1318</v>
      </c>
      <c r="B65" s="0" t="s">
        <v>13</v>
      </c>
      <c r="C65" s="0" t="str">
        <f aca="false">"182-193"</f>
        <v>182-193</v>
      </c>
      <c r="D65" s="0" t="s">
        <v>13</v>
      </c>
      <c r="E65" s="0" t="str">
        <f aca="false">"329-340"</f>
        <v>329-340</v>
      </c>
      <c r="F65" s="0" t="s">
        <v>1382</v>
      </c>
      <c r="G65" s="0" t="s">
        <v>9</v>
      </c>
      <c r="H65" s="0" t="str">
        <f aca="false">"186-197"</f>
        <v>186-197</v>
      </c>
      <c r="I65" s="0" t="s">
        <v>9</v>
      </c>
      <c r="J65" s="0" t="str">
        <f aca="false">"109-120"</f>
        <v>109-120</v>
      </c>
      <c r="K65" s="0" t="str">
        <f aca="false">"0.99"</f>
        <v>0.99</v>
      </c>
      <c r="L65" s="0" t="str">
        <f aca="false">"11.32"</f>
        <v>11.32</v>
      </c>
      <c r="M65" s="0" t="str">
        <f aca="false">"164.2"</f>
        <v>164.2</v>
      </c>
    </row>
    <row r="66" customFormat="false" ht="14.65" hidden="false" customHeight="false" outlineLevel="0" collapsed="false">
      <c r="A66" s="0" t="s">
        <v>1318</v>
      </c>
      <c r="B66" s="0" t="s">
        <v>13</v>
      </c>
      <c r="C66" s="0" t="str">
        <f aca="false">"184-195"</f>
        <v>184-195</v>
      </c>
      <c r="D66" s="0" t="s">
        <v>13</v>
      </c>
      <c r="E66" s="0" t="str">
        <f aca="false">"325-336"</f>
        <v>325-336</v>
      </c>
      <c r="F66" s="0" t="s">
        <v>1383</v>
      </c>
      <c r="G66" s="0" t="s">
        <v>9</v>
      </c>
      <c r="H66" s="0" t="str">
        <f aca="false">"160-171"</f>
        <v>160-171</v>
      </c>
      <c r="I66" s="0" t="s">
        <v>9</v>
      </c>
      <c r="J66" s="0" t="str">
        <f aca="false">"79-90"</f>
        <v>79-90</v>
      </c>
      <c r="K66" s="0" t="str">
        <f aca="false">"0.73"</f>
        <v>0.73</v>
      </c>
      <c r="L66" s="0" t="str">
        <f aca="false">"11.89"</f>
        <v>11.89</v>
      </c>
      <c r="M66" s="0" t="str">
        <f aca="false">"164.2"</f>
        <v>164.2</v>
      </c>
    </row>
    <row r="67" customFormat="false" ht="14.65" hidden="false" customHeight="false" outlineLevel="0" collapsed="false">
      <c r="A67" s="0" t="s">
        <v>1318</v>
      </c>
      <c r="B67" s="0" t="s">
        <v>13</v>
      </c>
      <c r="C67" s="0" t="str">
        <f aca="false">"189-200"</f>
        <v>189-200</v>
      </c>
      <c r="D67" s="0" t="s">
        <v>13</v>
      </c>
      <c r="E67" s="0" t="str">
        <f aca="false">"325-336"</f>
        <v>325-336</v>
      </c>
      <c r="F67" s="0" t="s">
        <v>1384</v>
      </c>
      <c r="G67" s="0" t="s">
        <v>9</v>
      </c>
      <c r="H67" s="0" t="str">
        <f aca="false">"67-78"</f>
        <v>67-78</v>
      </c>
      <c r="I67" s="0" t="s">
        <v>9</v>
      </c>
      <c r="J67" s="0" t="str">
        <f aca="false">"10-21"</f>
        <v>10-21</v>
      </c>
      <c r="K67" s="0" t="str">
        <f aca="false">"1.06"</f>
        <v>1.06</v>
      </c>
      <c r="L67" s="0" t="str">
        <f aca="false">"10.80"</f>
        <v>10.80</v>
      </c>
      <c r="M67" s="0" t="str">
        <f aca="false">"164.1"</f>
        <v>164.1</v>
      </c>
    </row>
    <row r="68" customFormat="false" ht="14.65" hidden="false" customHeight="false" outlineLevel="0" collapsed="false">
      <c r="A68" s="0" t="s">
        <v>1318</v>
      </c>
      <c r="B68" s="0" t="s">
        <v>13</v>
      </c>
      <c r="C68" s="0" t="str">
        <f aca="false">"189-200"</f>
        <v>189-200</v>
      </c>
      <c r="D68" s="0" t="s">
        <v>13</v>
      </c>
      <c r="E68" s="0" t="str">
        <f aca="false">"322-333"</f>
        <v>322-333</v>
      </c>
      <c r="F68" s="0" t="s">
        <v>1385</v>
      </c>
      <c r="G68" s="0" t="s">
        <v>9</v>
      </c>
      <c r="H68" s="0" t="str">
        <f aca="false">"44-55"</f>
        <v>44-55</v>
      </c>
      <c r="I68" s="0" t="s">
        <v>9</v>
      </c>
      <c r="J68" s="0" t="str">
        <f aca="false">"76-87"</f>
        <v>76-87</v>
      </c>
      <c r="K68" s="0" t="str">
        <f aca="false">"0.94"</f>
        <v>0.94</v>
      </c>
      <c r="L68" s="0" t="str">
        <f aca="false">"9.86"</f>
        <v>9.86</v>
      </c>
      <c r="M68" s="0" t="str">
        <f aca="false">"164.0"</f>
        <v>164.0</v>
      </c>
    </row>
    <row r="69" customFormat="false" ht="14.65" hidden="false" customHeight="false" outlineLevel="0" collapsed="false">
      <c r="A69" s="0" t="s">
        <v>1318</v>
      </c>
      <c r="B69" s="0" t="s">
        <v>13</v>
      </c>
      <c r="C69" s="0" t="str">
        <f aca="false">"186-197"</f>
        <v>186-197</v>
      </c>
      <c r="D69" s="0" t="s">
        <v>13</v>
      </c>
      <c r="E69" s="0" t="str">
        <f aca="false">"325-336"</f>
        <v>325-336</v>
      </c>
      <c r="F69" s="0" t="s">
        <v>1386</v>
      </c>
      <c r="G69" s="0" t="s">
        <v>9</v>
      </c>
      <c r="H69" s="0" t="str">
        <f aca="false">"61-72"</f>
        <v>61-72</v>
      </c>
      <c r="I69" s="0" t="s">
        <v>13</v>
      </c>
      <c r="J69" s="0" t="str">
        <f aca="false">"64-75"</f>
        <v>64-75</v>
      </c>
      <c r="K69" s="0" t="str">
        <f aca="false">"0.57"</f>
        <v>0.57</v>
      </c>
      <c r="L69" s="0" t="str">
        <f aca="false">"10.01"</f>
        <v>10.01</v>
      </c>
      <c r="M69" s="0" t="str">
        <f aca="false">"164.0"</f>
        <v>164.0</v>
      </c>
    </row>
    <row r="70" customFormat="false" ht="14.65" hidden="false" customHeight="false" outlineLevel="0" collapsed="false">
      <c r="A70" s="0" t="s">
        <v>1318</v>
      </c>
      <c r="B70" s="0" t="s">
        <v>13</v>
      </c>
      <c r="C70" s="0" t="str">
        <f aca="false">"182-193"</f>
        <v>182-193</v>
      </c>
      <c r="D70" s="0" t="s">
        <v>13</v>
      </c>
      <c r="E70" s="0" t="str">
        <f aca="false">"329-340"</f>
        <v>329-340</v>
      </c>
      <c r="F70" s="0" t="s">
        <v>1387</v>
      </c>
      <c r="G70" s="0" t="s">
        <v>9</v>
      </c>
      <c r="H70" s="0" t="str">
        <f aca="false">"129-140"</f>
        <v>129-140</v>
      </c>
      <c r="I70" s="0" t="s">
        <v>9</v>
      </c>
      <c r="J70" s="0" t="str">
        <f aca="false">"114-125"</f>
        <v>114-125</v>
      </c>
      <c r="K70" s="0" t="str">
        <f aca="false">"1.16"</f>
        <v>1.16</v>
      </c>
      <c r="L70" s="0" t="str">
        <f aca="false">"9.85"</f>
        <v>9.85</v>
      </c>
      <c r="M70" s="0" t="str">
        <f aca="false">"164.0"</f>
        <v>164.0</v>
      </c>
    </row>
    <row r="71" customFormat="false" ht="14.65" hidden="false" customHeight="false" outlineLevel="0" collapsed="false">
      <c r="A71" s="0" t="s">
        <v>1318</v>
      </c>
      <c r="B71" s="0" t="s">
        <v>13</v>
      </c>
      <c r="C71" s="0" t="str">
        <f aca="false">"182-193"</f>
        <v>182-193</v>
      </c>
      <c r="D71" s="0" t="s">
        <v>13</v>
      </c>
      <c r="E71" s="0" t="str">
        <f aca="false">"329-340"</f>
        <v>329-340</v>
      </c>
      <c r="F71" s="0" t="s">
        <v>1388</v>
      </c>
      <c r="G71" s="0" t="s">
        <v>9</v>
      </c>
      <c r="H71" s="0" t="str">
        <f aca="false">"366-377"</f>
        <v>366-377</v>
      </c>
      <c r="I71" s="0" t="s">
        <v>9</v>
      </c>
      <c r="J71" s="0" t="str">
        <f aca="false">"288-299"</f>
        <v>288-299</v>
      </c>
      <c r="K71" s="0" t="str">
        <f aca="false">"1.17"</f>
        <v>1.17</v>
      </c>
      <c r="L71" s="0" t="str">
        <f aca="false">"10.53"</f>
        <v>10.53</v>
      </c>
      <c r="M71" s="0" t="str">
        <f aca="false">"164.0"</f>
        <v>164.0</v>
      </c>
    </row>
    <row r="72" customFormat="false" ht="14.65" hidden="false" customHeight="false" outlineLevel="0" collapsed="false">
      <c r="A72" s="0" t="s">
        <v>1318</v>
      </c>
      <c r="B72" s="0" t="s">
        <v>13</v>
      </c>
      <c r="C72" s="0" t="str">
        <f aca="false">"189-200"</f>
        <v>189-200</v>
      </c>
      <c r="D72" s="0" t="s">
        <v>13</v>
      </c>
      <c r="E72" s="0" t="str">
        <f aca="false">"322-333"</f>
        <v>322-333</v>
      </c>
      <c r="F72" s="0" t="s">
        <v>1389</v>
      </c>
      <c r="G72" s="0" t="s">
        <v>9</v>
      </c>
      <c r="H72" s="0" t="str">
        <f aca="false">"199-210"</f>
        <v>199-210</v>
      </c>
      <c r="I72" s="0" t="s">
        <v>9</v>
      </c>
      <c r="J72" s="0" t="str">
        <f aca="false">"110-121"</f>
        <v>110-121</v>
      </c>
      <c r="K72" s="0" t="str">
        <f aca="false">"0.98"</f>
        <v>0.98</v>
      </c>
      <c r="L72" s="0" t="str">
        <f aca="false">"11.61"</f>
        <v>11.61</v>
      </c>
      <c r="M72" s="0" t="str">
        <f aca="false">"163.8"</f>
        <v>163.8</v>
      </c>
    </row>
    <row r="73" customFormat="false" ht="14.65" hidden="false" customHeight="false" outlineLevel="0" collapsed="false">
      <c r="A73" s="0" t="s">
        <v>1318</v>
      </c>
      <c r="B73" s="0" t="s">
        <v>13</v>
      </c>
      <c r="C73" s="0" t="str">
        <f aca="false">"186-197"</f>
        <v>186-197</v>
      </c>
      <c r="D73" s="0" t="s">
        <v>13</v>
      </c>
      <c r="E73" s="0" t="str">
        <f aca="false">"325-336"</f>
        <v>325-336</v>
      </c>
      <c r="F73" s="0" t="s">
        <v>1390</v>
      </c>
      <c r="G73" s="0" t="s">
        <v>9</v>
      </c>
      <c r="H73" s="0" t="str">
        <f aca="false">"120-131"</f>
        <v>120-131</v>
      </c>
      <c r="I73" s="0" t="s">
        <v>9</v>
      </c>
      <c r="J73" s="0" t="str">
        <f aca="false">"139-150"</f>
        <v>139-150</v>
      </c>
      <c r="K73" s="0" t="str">
        <f aca="false">"1.11"</f>
        <v>1.11</v>
      </c>
      <c r="L73" s="0" t="str">
        <f aca="false">"11.71"</f>
        <v>11.71</v>
      </c>
      <c r="M73" s="0" t="str">
        <f aca="false">"163.8"</f>
        <v>163.8</v>
      </c>
    </row>
    <row r="74" customFormat="false" ht="14.65" hidden="false" customHeight="false" outlineLevel="0" collapsed="false">
      <c r="A74" s="0" t="s">
        <v>1318</v>
      </c>
      <c r="B74" s="0" t="s">
        <v>13</v>
      </c>
      <c r="C74" s="0" t="str">
        <f aca="false">"182-193"</f>
        <v>182-193</v>
      </c>
      <c r="D74" s="0" t="s">
        <v>13</v>
      </c>
      <c r="E74" s="0" t="str">
        <f aca="false">"329-340"</f>
        <v>329-340</v>
      </c>
      <c r="F74" s="0" t="s">
        <v>1391</v>
      </c>
      <c r="G74" s="0" t="s">
        <v>9</v>
      </c>
      <c r="H74" s="0" t="str">
        <f aca="false">"708-719"</f>
        <v>708-719</v>
      </c>
      <c r="I74" s="0" t="s">
        <v>9</v>
      </c>
      <c r="J74" s="0" t="str">
        <f aca="false">"767-778"</f>
        <v>767-778</v>
      </c>
      <c r="K74" s="0" t="str">
        <f aca="false">"0.62"</f>
        <v>0.62</v>
      </c>
      <c r="L74" s="0" t="str">
        <f aca="false">"10.19"</f>
        <v>10.19</v>
      </c>
      <c r="M74" s="0" t="str">
        <f aca="false">"163.6"</f>
        <v>163.6</v>
      </c>
    </row>
    <row r="75" customFormat="false" ht="14.65" hidden="false" customHeight="false" outlineLevel="0" collapsed="false">
      <c r="A75" s="0" t="s">
        <v>1318</v>
      </c>
      <c r="B75" s="0" t="s">
        <v>13</v>
      </c>
      <c r="C75" s="0" t="str">
        <f aca="false">"182-193"</f>
        <v>182-193</v>
      </c>
      <c r="D75" s="0" t="s">
        <v>13</v>
      </c>
      <c r="E75" s="0" t="str">
        <f aca="false">"329-340"</f>
        <v>329-340</v>
      </c>
      <c r="F75" s="0" t="s">
        <v>1392</v>
      </c>
      <c r="G75" s="0" t="s">
        <v>9</v>
      </c>
      <c r="H75" s="0" t="str">
        <f aca="false">"136-147"</f>
        <v>136-147</v>
      </c>
      <c r="I75" s="0" t="s">
        <v>9</v>
      </c>
      <c r="J75" s="0" t="str">
        <f aca="false">"232-243"</f>
        <v>232-243</v>
      </c>
      <c r="K75" s="0" t="str">
        <f aca="false">"0.80"</f>
        <v>0.80</v>
      </c>
      <c r="L75" s="0" t="str">
        <f aca="false">"11.15"</f>
        <v>11.15</v>
      </c>
      <c r="M75" s="0" t="str">
        <f aca="false">"163.6"</f>
        <v>163.6</v>
      </c>
    </row>
    <row r="76" customFormat="false" ht="14.65" hidden="false" customHeight="false" outlineLevel="0" collapsed="false">
      <c r="A76" s="0" t="s">
        <v>1318</v>
      </c>
      <c r="B76" s="0" t="s">
        <v>13</v>
      </c>
      <c r="C76" s="0" t="str">
        <f aca="false">"189-200"</f>
        <v>189-200</v>
      </c>
      <c r="D76" s="0" t="s">
        <v>13</v>
      </c>
      <c r="E76" s="0" t="str">
        <f aca="false">"322-333"</f>
        <v>322-333</v>
      </c>
      <c r="F76" s="0" t="s">
        <v>1393</v>
      </c>
      <c r="G76" s="0" t="s">
        <v>9</v>
      </c>
      <c r="H76" s="0" t="str">
        <f aca="false">"70-81"</f>
        <v>70-81</v>
      </c>
      <c r="I76" s="0" t="s">
        <v>9</v>
      </c>
      <c r="J76" s="0" t="str">
        <f aca="false">"17-28"</f>
        <v>17-28</v>
      </c>
      <c r="K76" s="0" t="str">
        <f aca="false">"0.40"</f>
        <v>0.40</v>
      </c>
      <c r="L76" s="0" t="str">
        <f aca="false">"10.28"</f>
        <v>10.28</v>
      </c>
      <c r="M76" s="0" t="str">
        <f aca="false">"163.6"</f>
        <v>163.6</v>
      </c>
    </row>
    <row r="77" customFormat="false" ht="14.65" hidden="false" customHeight="false" outlineLevel="0" collapsed="false">
      <c r="A77" s="0" t="s">
        <v>1318</v>
      </c>
      <c r="B77" s="0" t="s">
        <v>13</v>
      </c>
      <c r="C77" s="0" t="str">
        <f aca="false">"182-193"</f>
        <v>182-193</v>
      </c>
      <c r="D77" s="0" t="s">
        <v>13</v>
      </c>
      <c r="E77" s="0" t="str">
        <f aca="false">"329-340"</f>
        <v>329-340</v>
      </c>
      <c r="F77" s="0" t="s">
        <v>1394</v>
      </c>
      <c r="G77" s="0" t="s">
        <v>9</v>
      </c>
      <c r="H77" s="0" t="str">
        <f aca="false">"335-346"</f>
        <v>335-346</v>
      </c>
      <c r="I77" s="0" t="s">
        <v>9</v>
      </c>
      <c r="J77" s="0" t="str">
        <f aca="false">"256-267"</f>
        <v>256-267</v>
      </c>
      <c r="K77" s="0" t="str">
        <f aca="false">"1.20"</f>
        <v>1.20</v>
      </c>
      <c r="L77" s="0" t="str">
        <f aca="false">"11.09"</f>
        <v>11.09</v>
      </c>
      <c r="M77" s="0" t="str">
        <f aca="false">"163.4"</f>
        <v>163.4</v>
      </c>
    </row>
    <row r="78" customFormat="false" ht="14.65" hidden="false" customHeight="false" outlineLevel="0" collapsed="false">
      <c r="A78" s="0" t="s">
        <v>1318</v>
      </c>
      <c r="B78" s="0" t="s">
        <v>13</v>
      </c>
      <c r="C78" s="0" t="str">
        <f aca="false">"179-190"</f>
        <v>179-190</v>
      </c>
      <c r="D78" s="0" t="s">
        <v>13</v>
      </c>
      <c r="E78" s="0" t="str">
        <f aca="false">"329-340"</f>
        <v>329-340</v>
      </c>
      <c r="F78" s="0" t="s">
        <v>1395</v>
      </c>
      <c r="G78" s="0" t="s">
        <v>9</v>
      </c>
      <c r="H78" s="0" t="str">
        <f aca="false">"399-410"</f>
        <v>399-410</v>
      </c>
      <c r="I78" s="0" t="s">
        <v>9</v>
      </c>
      <c r="J78" s="0" t="str">
        <f aca="false">"38-49"</f>
        <v>38-49</v>
      </c>
      <c r="K78" s="0" t="str">
        <f aca="false">"1.22"</f>
        <v>1.22</v>
      </c>
      <c r="L78" s="0" t="str">
        <f aca="false">"11.61"</f>
        <v>11.61</v>
      </c>
      <c r="M78" s="0" t="str">
        <f aca="false">"163.3"</f>
        <v>163.3</v>
      </c>
    </row>
    <row r="79" customFormat="false" ht="14.65" hidden="false" customHeight="false" outlineLevel="0" collapsed="false">
      <c r="A79" s="0" t="s">
        <v>1318</v>
      </c>
      <c r="B79" s="0" t="s">
        <v>13</v>
      </c>
      <c r="C79" s="0" t="str">
        <f aca="false">"189-200"</f>
        <v>189-200</v>
      </c>
      <c r="D79" s="0" t="s">
        <v>13</v>
      </c>
      <c r="E79" s="0" t="str">
        <f aca="false">"322-333"</f>
        <v>322-333</v>
      </c>
      <c r="F79" s="0" t="s">
        <v>1396</v>
      </c>
      <c r="G79" s="0" t="s">
        <v>13</v>
      </c>
      <c r="H79" s="0" t="str">
        <f aca="false">"4-15"</f>
        <v>4-15</v>
      </c>
      <c r="I79" s="0" t="s">
        <v>9</v>
      </c>
      <c r="J79" s="0" t="str">
        <f aca="false">"7-18"</f>
        <v>7-18</v>
      </c>
      <c r="K79" s="0" t="str">
        <f aca="false">"0.44"</f>
        <v>0.44</v>
      </c>
      <c r="L79" s="0" t="str">
        <f aca="false">"9.95"</f>
        <v>9.95</v>
      </c>
      <c r="M79" s="0" t="str">
        <f aca="false">"163.3"</f>
        <v>163.3</v>
      </c>
    </row>
    <row r="80" customFormat="false" ht="14.65" hidden="false" customHeight="false" outlineLevel="0" collapsed="false">
      <c r="A80" s="0" t="s">
        <v>1318</v>
      </c>
      <c r="B80" s="0" t="s">
        <v>13</v>
      </c>
      <c r="C80" s="0" t="str">
        <f aca="false">"182-193"</f>
        <v>182-193</v>
      </c>
      <c r="D80" s="0" t="s">
        <v>13</v>
      </c>
      <c r="E80" s="0" t="str">
        <f aca="false">"329-340"</f>
        <v>329-340</v>
      </c>
      <c r="F80" s="0" t="s">
        <v>1397</v>
      </c>
      <c r="G80" s="0" t="s">
        <v>9</v>
      </c>
      <c r="H80" s="0" t="str">
        <f aca="false">"195-206"</f>
        <v>195-206</v>
      </c>
      <c r="I80" s="0" t="s">
        <v>9</v>
      </c>
      <c r="J80" s="0" t="str">
        <f aca="false">"116-127"</f>
        <v>116-127</v>
      </c>
      <c r="K80" s="0" t="str">
        <f aca="false">"0.68"</f>
        <v>0.68</v>
      </c>
      <c r="L80" s="0" t="str">
        <f aca="false">"10.98"</f>
        <v>10.98</v>
      </c>
      <c r="M80" s="0" t="str">
        <f aca="false">"163.1"</f>
        <v>163.1</v>
      </c>
    </row>
    <row r="81" customFormat="false" ht="14.65" hidden="false" customHeight="false" outlineLevel="0" collapsed="false">
      <c r="A81" s="0" t="s">
        <v>1318</v>
      </c>
      <c r="B81" s="0" t="s">
        <v>13</v>
      </c>
      <c r="C81" s="0" t="str">
        <f aca="false">"181-192"</f>
        <v>181-192</v>
      </c>
      <c r="D81" s="0" t="s">
        <v>13</v>
      </c>
      <c r="E81" s="0" t="str">
        <f aca="false">"328-339"</f>
        <v>328-339</v>
      </c>
      <c r="F81" s="0" t="s">
        <v>1398</v>
      </c>
      <c r="G81" s="0" t="s">
        <v>13</v>
      </c>
      <c r="H81" s="0" t="str">
        <f aca="false">"47-58"</f>
        <v>47-58</v>
      </c>
      <c r="I81" s="0" t="s">
        <v>9</v>
      </c>
      <c r="J81" s="0" t="str">
        <f aca="false">"47-58"</f>
        <v>47-58</v>
      </c>
      <c r="K81" s="0" t="str">
        <f aca="false">"1.09"</f>
        <v>1.09</v>
      </c>
      <c r="L81" s="0" t="str">
        <f aca="false">"10.59"</f>
        <v>10.59</v>
      </c>
      <c r="M81" s="0" t="str">
        <f aca="false">"162.9"</f>
        <v>162.9</v>
      </c>
    </row>
    <row r="82" customFormat="false" ht="14.65" hidden="false" customHeight="false" outlineLevel="0" collapsed="false">
      <c r="A82" s="0" t="s">
        <v>1318</v>
      </c>
      <c r="B82" s="0" t="s">
        <v>13</v>
      </c>
      <c r="C82" s="0" t="str">
        <f aca="false">"189-200"</f>
        <v>189-200</v>
      </c>
      <c r="D82" s="0" t="s">
        <v>13</v>
      </c>
      <c r="E82" s="0" t="str">
        <f aca="false">"322-333"</f>
        <v>322-333</v>
      </c>
      <c r="F82" s="0" t="s">
        <v>1399</v>
      </c>
      <c r="G82" s="0" t="s">
        <v>13</v>
      </c>
      <c r="H82" s="0" t="str">
        <f aca="false">"21-32"</f>
        <v>21-32</v>
      </c>
      <c r="I82" s="0" t="s">
        <v>9</v>
      </c>
      <c r="J82" s="0" t="str">
        <f aca="false">"125-136"</f>
        <v>125-136</v>
      </c>
      <c r="K82" s="0" t="str">
        <f aca="false">"1.14"</f>
        <v>1.14</v>
      </c>
      <c r="L82" s="0" t="str">
        <f aca="false">"10.30"</f>
        <v>10.30</v>
      </c>
      <c r="M82" s="0" t="str">
        <f aca="false">"162.6"</f>
        <v>162.6</v>
      </c>
    </row>
    <row r="83" customFormat="false" ht="14.65" hidden="false" customHeight="false" outlineLevel="0" collapsed="false">
      <c r="A83" s="0" t="s">
        <v>1318</v>
      </c>
      <c r="B83" s="0" t="s">
        <v>13</v>
      </c>
      <c r="C83" s="0" t="str">
        <f aca="false">"189-200"</f>
        <v>189-200</v>
      </c>
      <c r="D83" s="0" t="s">
        <v>13</v>
      </c>
      <c r="E83" s="0" t="str">
        <f aca="false">"322-333"</f>
        <v>322-333</v>
      </c>
      <c r="F83" s="0" t="s">
        <v>1400</v>
      </c>
      <c r="G83" s="0" t="s">
        <v>9</v>
      </c>
      <c r="H83" s="0" t="str">
        <f aca="false">"135-146"</f>
        <v>135-146</v>
      </c>
      <c r="I83" s="0" t="s">
        <v>9</v>
      </c>
      <c r="J83" s="0" t="str">
        <f aca="false">"24-35"</f>
        <v>24-35</v>
      </c>
      <c r="K83" s="0" t="str">
        <f aca="false">"1.00"</f>
        <v>1.00</v>
      </c>
      <c r="L83" s="0" t="str">
        <f aca="false">"10.94"</f>
        <v>10.94</v>
      </c>
      <c r="M83" s="0" t="str">
        <f aca="false">"162.5"</f>
        <v>162.5</v>
      </c>
    </row>
    <row r="84" customFormat="false" ht="14.65" hidden="false" customHeight="false" outlineLevel="0" collapsed="false">
      <c r="A84" s="0" t="s">
        <v>1318</v>
      </c>
      <c r="B84" s="0" t="s">
        <v>13</v>
      </c>
      <c r="C84" s="0" t="str">
        <f aca="false">"185-196"</f>
        <v>185-196</v>
      </c>
      <c r="D84" s="0" t="s">
        <v>13</v>
      </c>
      <c r="E84" s="0" t="str">
        <f aca="false">"329-340"</f>
        <v>329-340</v>
      </c>
      <c r="F84" s="0" t="s">
        <v>1401</v>
      </c>
      <c r="G84" s="0" t="s">
        <v>9</v>
      </c>
      <c r="H84" s="0" t="str">
        <f aca="false">"211-222"</f>
        <v>211-222</v>
      </c>
      <c r="I84" s="0" t="s">
        <v>9</v>
      </c>
      <c r="J84" s="0" t="str">
        <f aca="false">"139-150"</f>
        <v>139-150</v>
      </c>
      <c r="K84" s="0" t="str">
        <f aca="false">"0.97"</f>
        <v>0.97</v>
      </c>
      <c r="L84" s="0" t="str">
        <f aca="false">"10.88"</f>
        <v>10.88</v>
      </c>
      <c r="M84" s="0" t="str">
        <f aca="false">"162.5"</f>
        <v>162.5</v>
      </c>
    </row>
    <row r="85" customFormat="false" ht="14.65" hidden="false" customHeight="false" outlineLevel="0" collapsed="false">
      <c r="A85" s="0" t="s">
        <v>1318</v>
      </c>
      <c r="B85" s="0" t="s">
        <v>13</v>
      </c>
      <c r="C85" s="0" t="str">
        <f aca="false">"189-200"</f>
        <v>189-200</v>
      </c>
      <c r="D85" s="0" t="s">
        <v>13</v>
      </c>
      <c r="E85" s="0" t="str">
        <f aca="false">"322-333"</f>
        <v>322-333</v>
      </c>
      <c r="F85" s="0" t="s">
        <v>1402</v>
      </c>
      <c r="G85" s="0" t="s">
        <v>9</v>
      </c>
      <c r="H85" s="0" t="str">
        <f aca="false">"104-115"</f>
        <v>104-115</v>
      </c>
      <c r="I85" s="0" t="s">
        <v>9</v>
      </c>
      <c r="J85" s="0" t="str">
        <f aca="false">"129-140"</f>
        <v>129-140</v>
      </c>
      <c r="K85" s="0" t="str">
        <f aca="false">"1.14"</f>
        <v>1.14</v>
      </c>
      <c r="L85" s="0" t="str">
        <f aca="false">"10.56"</f>
        <v>10.56</v>
      </c>
      <c r="M85" s="0" t="str">
        <f aca="false">"162.5"</f>
        <v>162.5</v>
      </c>
    </row>
    <row r="86" customFormat="false" ht="14.65" hidden="false" customHeight="false" outlineLevel="0" collapsed="false">
      <c r="A86" s="0" t="s">
        <v>1318</v>
      </c>
      <c r="B86" s="0" t="s">
        <v>13</v>
      </c>
      <c r="C86" s="0" t="str">
        <f aca="false">"185-196"</f>
        <v>185-196</v>
      </c>
      <c r="D86" s="0" t="s">
        <v>13</v>
      </c>
      <c r="E86" s="0" t="str">
        <f aca="false">"330-341"</f>
        <v>330-341</v>
      </c>
      <c r="F86" s="0" t="s">
        <v>1403</v>
      </c>
      <c r="G86" s="0" t="s">
        <v>13</v>
      </c>
      <c r="H86" s="0" t="str">
        <f aca="false">"86-97"</f>
        <v>86-97</v>
      </c>
      <c r="I86" s="0" t="s">
        <v>9</v>
      </c>
      <c r="J86" s="0" t="str">
        <f aca="false">"68-79"</f>
        <v>68-79</v>
      </c>
      <c r="K86" s="0" t="str">
        <f aca="false">"1.23"</f>
        <v>1.23</v>
      </c>
      <c r="L86" s="0" t="str">
        <f aca="false">"9.43"</f>
        <v>9.43</v>
      </c>
      <c r="M86" s="0" t="str">
        <f aca="false">"162.2"</f>
        <v>162.2</v>
      </c>
    </row>
    <row r="87" customFormat="false" ht="14.65" hidden="false" customHeight="false" outlineLevel="0" collapsed="false">
      <c r="A87" s="0" t="s">
        <v>1318</v>
      </c>
      <c r="B87" s="0" t="s">
        <v>13</v>
      </c>
      <c r="C87" s="0" t="str">
        <f aca="false">"186-197"</f>
        <v>186-197</v>
      </c>
      <c r="D87" s="0" t="s">
        <v>13</v>
      </c>
      <c r="E87" s="0" t="str">
        <f aca="false">"325-336"</f>
        <v>325-336</v>
      </c>
      <c r="F87" s="0" t="s">
        <v>1404</v>
      </c>
      <c r="G87" s="0" t="s">
        <v>9</v>
      </c>
      <c r="H87" s="0" t="str">
        <f aca="false">"806-817"</f>
        <v>806-817</v>
      </c>
      <c r="I87" s="0" t="s">
        <v>9</v>
      </c>
      <c r="J87" s="0" t="str">
        <f aca="false">"724-735"</f>
        <v>724-735</v>
      </c>
      <c r="K87" s="0" t="str">
        <f aca="false">"0.96"</f>
        <v>0.96</v>
      </c>
      <c r="L87" s="0" t="str">
        <f aca="false">"11.11"</f>
        <v>11.11</v>
      </c>
      <c r="M87" s="0" t="str">
        <f aca="false">"162.1"</f>
        <v>162.1</v>
      </c>
    </row>
    <row r="88" customFormat="false" ht="14.65" hidden="false" customHeight="false" outlineLevel="0" collapsed="false">
      <c r="A88" s="0" t="s">
        <v>1318</v>
      </c>
      <c r="B88" s="0" t="s">
        <v>13</v>
      </c>
      <c r="C88" s="0" t="str">
        <f aca="false">"181-192"</f>
        <v>181-192</v>
      </c>
      <c r="D88" s="0" t="s">
        <v>13</v>
      </c>
      <c r="E88" s="0" t="str">
        <f aca="false">"325-336"</f>
        <v>325-336</v>
      </c>
      <c r="F88" s="0" t="s">
        <v>1405</v>
      </c>
      <c r="G88" s="0" t="s">
        <v>9</v>
      </c>
      <c r="H88" s="0" t="str">
        <f aca="false">"229-240"</f>
        <v>229-240</v>
      </c>
      <c r="I88" s="0" t="s">
        <v>9</v>
      </c>
      <c r="J88" s="0" t="str">
        <f aca="false">"196-207"</f>
        <v>196-207</v>
      </c>
      <c r="K88" s="0" t="str">
        <f aca="false">"0.74"</f>
        <v>0.74</v>
      </c>
      <c r="L88" s="0" t="str">
        <f aca="false">"13.24"</f>
        <v>13.24</v>
      </c>
      <c r="M88" s="0" t="str">
        <f aca="false">"162.0"</f>
        <v>162.0</v>
      </c>
    </row>
    <row r="89" customFormat="false" ht="14.65" hidden="false" customHeight="false" outlineLevel="0" collapsed="false">
      <c r="A89" s="0" t="s">
        <v>1318</v>
      </c>
      <c r="B89" s="0" t="s">
        <v>13</v>
      </c>
      <c r="C89" s="0" t="str">
        <f aca="false">"189-200"</f>
        <v>189-200</v>
      </c>
      <c r="D89" s="0" t="s">
        <v>13</v>
      </c>
      <c r="E89" s="0" t="str">
        <f aca="false">"322-333"</f>
        <v>322-333</v>
      </c>
      <c r="F89" s="0" t="s">
        <v>1406</v>
      </c>
      <c r="G89" s="0" t="s">
        <v>9</v>
      </c>
      <c r="H89" s="0" t="str">
        <f aca="false">"165-176"</f>
        <v>165-176</v>
      </c>
      <c r="I89" s="0" t="s">
        <v>13</v>
      </c>
      <c r="J89" s="0" t="str">
        <f aca="false">"162-173"</f>
        <v>162-173</v>
      </c>
      <c r="K89" s="0" t="str">
        <f aca="false">"0.34"</f>
        <v>0.34</v>
      </c>
      <c r="L89" s="0" t="str">
        <f aca="false">"10.08"</f>
        <v>10.08</v>
      </c>
      <c r="M89" s="0" t="str">
        <f aca="false">"161.3"</f>
        <v>161.3</v>
      </c>
    </row>
    <row r="90" customFormat="false" ht="14.65" hidden="false" customHeight="false" outlineLevel="0" collapsed="false">
      <c r="A90" s="0" t="s">
        <v>1318</v>
      </c>
      <c r="B90" s="0" t="s">
        <v>13</v>
      </c>
      <c r="C90" s="0" t="str">
        <f aca="false">"189-200"</f>
        <v>189-200</v>
      </c>
      <c r="D90" s="0" t="s">
        <v>13</v>
      </c>
      <c r="E90" s="0" t="str">
        <f aca="false">"322-333"</f>
        <v>322-333</v>
      </c>
      <c r="F90" s="0" t="s">
        <v>1407</v>
      </c>
      <c r="G90" s="0" t="s">
        <v>9</v>
      </c>
      <c r="H90" s="0" t="str">
        <f aca="false">"50-61"</f>
        <v>50-61</v>
      </c>
      <c r="I90" s="0" t="s">
        <v>13</v>
      </c>
      <c r="J90" s="0" t="str">
        <f aca="false">"109-120"</f>
        <v>109-120</v>
      </c>
      <c r="K90" s="0" t="str">
        <f aca="false">"1.11"</f>
        <v>1.11</v>
      </c>
      <c r="L90" s="0" t="str">
        <f aca="false">"10.61"</f>
        <v>10.61</v>
      </c>
      <c r="M90" s="0" t="str">
        <f aca="false">"161.3"</f>
        <v>161.3</v>
      </c>
    </row>
    <row r="91" customFormat="false" ht="14.65" hidden="false" customHeight="false" outlineLevel="0" collapsed="false">
      <c r="A91" s="0" t="s">
        <v>1318</v>
      </c>
      <c r="B91" s="0" t="s">
        <v>13</v>
      </c>
      <c r="C91" s="0" t="str">
        <f aca="false">"187-198"</f>
        <v>187-198</v>
      </c>
      <c r="D91" s="0" t="s">
        <v>13</v>
      </c>
      <c r="E91" s="0" t="str">
        <f aca="false">"325-336"</f>
        <v>325-336</v>
      </c>
      <c r="F91" s="0" t="s">
        <v>1408</v>
      </c>
      <c r="G91" s="0" t="s">
        <v>71</v>
      </c>
      <c r="H91" s="0" t="str">
        <f aca="false">"104-115"</f>
        <v>104-115</v>
      </c>
      <c r="I91" s="0" t="s">
        <v>71</v>
      </c>
      <c r="J91" s="0" t="str">
        <f aca="false">"71-82"</f>
        <v>71-82</v>
      </c>
      <c r="K91" s="0" t="str">
        <f aca="false">"1.05"</f>
        <v>1.05</v>
      </c>
      <c r="L91" s="0" t="str">
        <f aca="false">"10.65"</f>
        <v>10.65</v>
      </c>
      <c r="M91" s="0" t="str">
        <f aca="false">"161.2"</f>
        <v>161.2</v>
      </c>
    </row>
    <row r="92" customFormat="false" ht="14.65" hidden="false" customHeight="false" outlineLevel="0" collapsed="false">
      <c r="A92" s="0" t="s">
        <v>1318</v>
      </c>
      <c r="B92" s="0" t="s">
        <v>13</v>
      </c>
      <c r="C92" s="0" t="str">
        <f aca="false">"189-200"</f>
        <v>189-200</v>
      </c>
      <c r="D92" s="0" t="s">
        <v>13</v>
      </c>
      <c r="E92" s="0" t="str">
        <f aca="false">"322-333"</f>
        <v>322-333</v>
      </c>
      <c r="F92" s="0" t="s">
        <v>1409</v>
      </c>
      <c r="G92" s="0" t="s">
        <v>9</v>
      </c>
      <c r="H92" s="0" t="str">
        <f aca="false">"499-510"</f>
        <v>499-510</v>
      </c>
      <c r="I92" s="0" t="s">
        <v>9</v>
      </c>
      <c r="J92" s="0" t="str">
        <f aca="false">"401-412"</f>
        <v>401-412</v>
      </c>
      <c r="K92" s="0" t="str">
        <f aca="false">"0.87"</f>
        <v>0.87</v>
      </c>
      <c r="L92" s="0" t="str">
        <f aca="false">"11.31"</f>
        <v>11.31</v>
      </c>
      <c r="M92" s="0" t="str">
        <f aca="false">"161.2"</f>
        <v>161.2</v>
      </c>
    </row>
    <row r="93" customFormat="false" ht="14.65" hidden="false" customHeight="false" outlineLevel="0" collapsed="false">
      <c r="A93" s="0" t="s">
        <v>1318</v>
      </c>
      <c r="B93" s="0" t="s">
        <v>13</v>
      </c>
      <c r="C93" s="0" t="str">
        <f aca="false">"187-198"</f>
        <v>187-198</v>
      </c>
      <c r="D93" s="0" t="s">
        <v>13</v>
      </c>
      <c r="E93" s="0" t="str">
        <f aca="false">"322-333"</f>
        <v>322-333</v>
      </c>
      <c r="F93" s="0" t="s">
        <v>1410</v>
      </c>
      <c r="G93" s="0" t="s">
        <v>71</v>
      </c>
      <c r="H93" s="0" t="str">
        <f aca="false">"439-450"</f>
        <v>439-450</v>
      </c>
      <c r="I93" s="0" t="s">
        <v>71</v>
      </c>
      <c r="J93" s="0" t="str">
        <f aca="false">"399-410"</f>
        <v>399-410</v>
      </c>
      <c r="K93" s="0" t="str">
        <f aca="false">"1.17"</f>
        <v>1.17</v>
      </c>
      <c r="L93" s="0" t="str">
        <f aca="false">"12.37"</f>
        <v>12.37</v>
      </c>
      <c r="M93" s="0" t="str">
        <f aca="false">"160.8"</f>
        <v>160.8</v>
      </c>
    </row>
    <row r="94" customFormat="false" ht="14.65" hidden="false" customHeight="false" outlineLevel="0" collapsed="false">
      <c r="A94" s="0" t="s">
        <v>1318</v>
      </c>
      <c r="B94" s="0" t="s">
        <v>13</v>
      </c>
      <c r="C94" s="0" t="str">
        <f aca="false">"186-197"</f>
        <v>186-197</v>
      </c>
      <c r="D94" s="0" t="s">
        <v>13</v>
      </c>
      <c r="E94" s="0" t="str">
        <f aca="false">"326-337"</f>
        <v>326-337</v>
      </c>
      <c r="F94" s="0" t="s">
        <v>1411</v>
      </c>
      <c r="G94" s="0" t="s">
        <v>9</v>
      </c>
      <c r="H94" s="0" t="str">
        <f aca="false">"600-611"</f>
        <v>600-611</v>
      </c>
      <c r="I94" s="0" t="s">
        <v>9</v>
      </c>
      <c r="J94" s="0" t="str">
        <f aca="false">"494-505"</f>
        <v>494-505</v>
      </c>
      <c r="K94" s="0" t="str">
        <f aca="false">"1.07"</f>
        <v>1.07</v>
      </c>
      <c r="L94" s="0" t="str">
        <f aca="false">"10.11"</f>
        <v>10.11</v>
      </c>
      <c r="M94" s="0" t="str">
        <f aca="false">"160.5"</f>
        <v>160.5</v>
      </c>
    </row>
    <row r="95" customFormat="false" ht="14.65" hidden="false" customHeight="false" outlineLevel="0" collapsed="false">
      <c r="A95" s="0" t="s">
        <v>1318</v>
      </c>
      <c r="B95" s="0" t="s">
        <v>13</v>
      </c>
      <c r="C95" s="0" t="str">
        <f aca="false">"189-200"</f>
        <v>189-200</v>
      </c>
      <c r="D95" s="0" t="s">
        <v>13</v>
      </c>
      <c r="E95" s="0" t="str">
        <f aca="false">"322-333"</f>
        <v>322-333</v>
      </c>
      <c r="F95" s="0" t="s">
        <v>1412</v>
      </c>
      <c r="G95" s="0" t="s">
        <v>9</v>
      </c>
      <c r="H95" s="0" t="str">
        <f aca="false">"199-210"</f>
        <v>199-210</v>
      </c>
      <c r="I95" s="0" t="s">
        <v>9</v>
      </c>
      <c r="J95" s="0" t="str">
        <f aca="false">"154-165"</f>
        <v>154-165</v>
      </c>
      <c r="K95" s="0" t="str">
        <f aca="false">"1.16"</f>
        <v>1.16</v>
      </c>
      <c r="L95" s="0" t="str">
        <f aca="false">"11.92"</f>
        <v>11.92</v>
      </c>
      <c r="M95" s="0" t="str">
        <f aca="false">"160.4"</f>
        <v>160.4</v>
      </c>
    </row>
    <row r="96" customFormat="false" ht="14.65" hidden="false" customHeight="false" outlineLevel="0" collapsed="false">
      <c r="A96" s="0" t="s">
        <v>1318</v>
      </c>
      <c r="B96" s="0" t="s">
        <v>13</v>
      </c>
      <c r="C96" s="0" t="str">
        <f aca="false">"179-190"</f>
        <v>179-190</v>
      </c>
      <c r="D96" s="0" t="s">
        <v>13</v>
      </c>
      <c r="E96" s="0" t="str">
        <f aca="false">"332-343"</f>
        <v>332-343</v>
      </c>
      <c r="F96" s="0" t="s">
        <v>1413</v>
      </c>
      <c r="G96" s="0" t="s">
        <v>9</v>
      </c>
      <c r="H96" s="0" t="str">
        <f aca="false">"33-44"</f>
        <v>33-44</v>
      </c>
      <c r="I96" s="0" t="s">
        <v>9</v>
      </c>
      <c r="J96" s="0" t="str">
        <f aca="false">"56-67"</f>
        <v>56-67</v>
      </c>
      <c r="K96" s="0" t="str">
        <f aca="false">"1.12"</f>
        <v>1.12</v>
      </c>
      <c r="L96" s="0" t="str">
        <f aca="false">"11.23"</f>
        <v>11.23</v>
      </c>
      <c r="M96" s="0" t="str">
        <f aca="false">"160.2"</f>
        <v>160.2</v>
      </c>
    </row>
    <row r="97" customFormat="false" ht="14.65" hidden="false" customHeight="false" outlineLevel="0" collapsed="false">
      <c r="A97" s="0" t="s">
        <v>1318</v>
      </c>
      <c r="B97" s="0" t="s">
        <v>13</v>
      </c>
      <c r="C97" s="0" t="str">
        <f aca="false">"185-196"</f>
        <v>185-196</v>
      </c>
      <c r="D97" s="0" t="s">
        <v>13</v>
      </c>
      <c r="E97" s="0" t="str">
        <f aca="false">"325-336"</f>
        <v>325-336</v>
      </c>
      <c r="F97" s="0" t="s">
        <v>1414</v>
      </c>
      <c r="G97" s="0" t="s">
        <v>13</v>
      </c>
      <c r="H97" s="0" t="str">
        <f aca="false">"252-263"</f>
        <v>252-263</v>
      </c>
      <c r="I97" s="0" t="s">
        <v>24</v>
      </c>
      <c r="J97" s="0" t="str">
        <f aca="false">"252-263"</f>
        <v>252-263</v>
      </c>
      <c r="K97" s="0" t="str">
        <f aca="false">"0.77"</f>
        <v>0.77</v>
      </c>
      <c r="L97" s="0" t="str">
        <f aca="false">"11.34"</f>
        <v>11.34</v>
      </c>
      <c r="M97" s="0" t="str">
        <f aca="false">"160.2"</f>
        <v>160.2</v>
      </c>
    </row>
    <row r="98" customFormat="false" ht="14.65" hidden="false" customHeight="false" outlineLevel="0" collapsed="false">
      <c r="A98" s="0" t="s">
        <v>1318</v>
      </c>
      <c r="B98" s="0" t="s">
        <v>13</v>
      </c>
      <c r="C98" s="0" t="str">
        <f aca="false">"188-199"</f>
        <v>188-199</v>
      </c>
      <c r="D98" s="0" t="s">
        <v>13</v>
      </c>
      <c r="E98" s="0" t="str">
        <f aca="false">"325-336"</f>
        <v>325-336</v>
      </c>
      <c r="F98" s="0" t="s">
        <v>1415</v>
      </c>
      <c r="G98" s="0" t="s">
        <v>9</v>
      </c>
      <c r="H98" s="0" t="str">
        <f aca="false">"242-253"</f>
        <v>242-253</v>
      </c>
      <c r="I98" s="0" t="s">
        <v>120</v>
      </c>
      <c r="J98" s="0" t="str">
        <f aca="false">"239-250"</f>
        <v>239-250</v>
      </c>
      <c r="K98" s="0" t="str">
        <f aca="false">"1.02"</f>
        <v>1.02</v>
      </c>
      <c r="L98" s="0" t="str">
        <f aca="false">"10.91"</f>
        <v>10.91</v>
      </c>
      <c r="M98" s="0" t="str">
        <f aca="false">"160.2"</f>
        <v>160.2</v>
      </c>
    </row>
    <row r="99" customFormat="false" ht="14.65" hidden="false" customHeight="false" outlineLevel="0" collapsed="false">
      <c r="A99" s="0" t="s">
        <v>1318</v>
      </c>
      <c r="B99" s="0" t="s">
        <v>13</v>
      </c>
      <c r="C99" s="0" t="str">
        <f aca="false">"184-195"</f>
        <v>184-195</v>
      </c>
      <c r="D99" s="0" t="s">
        <v>13</v>
      </c>
      <c r="E99" s="0" t="str">
        <f aca="false">"325-336"</f>
        <v>325-336</v>
      </c>
      <c r="F99" s="0" t="s">
        <v>1416</v>
      </c>
      <c r="G99" s="0" t="s">
        <v>9</v>
      </c>
      <c r="H99" s="0" t="str">
        <f aca="false">"215-226"</f>
        <v>215-226</v>
      </c>
      <c r="I99" s="0" t="s">
        <v>9</v>
      </c>
      <c r="J99" s="0" t="str">
        <f aca="false">"110-121"</f>
        <v>110-121</v>
      </c>
      <c r="K99" s="0" t="str">
        <f aca="false">"0.86"</f>
        <v>0.86</v>
      </c>
      <c r="L99" s="0" t="str">
        <f aca="false">"11.72"</f>
        <v>11.72</v>
      </c>
      <c r="M99" s="0" t="str">
        <f aca="false">"160.2"</f>
        <v>160.2</v>
      </c>
    </row>
    <row r="100" customFormat="false" ht="14.65" hidden="false" customHeight="false" outlineLevel="0" collapsed="false">
      <c r="A100" s="0" t="s">
        <v>1318</v>
      </c>
      <c r="B100" s="0" t="s">
        <v>13</v>
      </c>
      <c r="C100" s="0" t="str">
        <f aca="false">"189-200"</f>
        <v>189-200</v>
      </c>
      <c r="D100" s="0" t="s">
        <v>13</v>
      </c>
      <c r="E100" s="0" t="str">
        <f aca="false">"322-333"</f>
        <v>322-333</v>
      </c>
      <c r="F100" s="0" t="s">
        <v>1417</v>
      </c>
      <c r="G100" s="0" t="s">
        <v>9</v>
      </c>
      <c r="H100" s="0" t="str">
        <f aca="false">"101-112"</f>
        <v>101-112</v>
      </c>
      <c r="I100" s="0" t="s">
        <v>9</v>
      </c>
      <c r="J100" s="0" t="str">
        <f aca="false">"119-130"</f>
        <v>119-130</v>
      </c>
      <c r="K100" s="0" t="str">
        <f aca="false">"0.83"</f>
        <v>0.83</v>
      </c>
      <c r="L100" s="0" t="str">
        <f aca="false">"10.38"</f>
        <v>10.38</v>
      </c>
      <c r="M100" s="0" t="str">
        <f aca="false">"159.6"</f>
        <v>159.6</v>
      </c>
    </row>
    <row r="101" customFormat="false" ht="14.65" hidden="false" customHeight="false" outlineLevel="0" collapsed="false">
      <c r="A101" s="0" t="s">
        <v>1318</v>
      </c>
      <c r="B101" s="0" t="s">
        <v>13</v>
      </c>
      <c r="C101" s="0" t="str">
        <f aca="false">"189-200"</f>
        <v>189-200</v>
      </c>
      <c r="D101" s="0" t="s">
        <v>13</v>
      </c>
      <c r="E101" s="0" t="str">
        <f aca="false">"322-333"</f>
        <v>322-333</v>
      </c>
      <c r="F101" s="0" t="s">
        <v>1418</v>
      </c>
      <c r="G101" s="0" t="s">
        <v>9</v>
      </c>
      <c r="H101" s="0" t="str">
        <f aca="false">"153-164"</f>
        <v>153-164</v>
      </c>
      <c r="I101" s="0" t="s">
        <v>9</v>
      </c>
      <c r="J101" s="0" t="str">
        <f aca="false">"173-184"</f>
        <v>173-184</v>
      </c>
      <c r="K101" s="0" t="str">
        <f aca="false">"0.92"</f>
        <v>0.92</v>
      </c>
      <c r="L101" s="0" t="str">
        <f aca="false">"11.04"</f>
        <v>11.04</v>
      </c>
      <c r="M101" s="0" t="str">
        <f aca="false">"159.6"</f>
        <v>159.6</v>
      </c>
    </row>
    <row r="102" customFormat="false" ht="14.65" hidden="false" customHeight="false" outlineLevel="0" collapsed="false">
      <c r="A102" s="0" t="s">
        <v>1318</v>
      </c>
      <c r="B102" s="0" t="s">
        <v>13</v>
      </c>
      <c r="C102" s="0" t="str">
        <f aca="false">"188-199"</f>
        <v>188-199</v>
      </c>
      <c r="D102" s="0" t="s">
        <v>13</v>
      </c>
      <c r="E102" s="0" t="str">
        <f aca="false">"322-333"</f>
        <v>322-333</v>
      </c>
      <c r="F102" s="0" t="s">
        <v>1419</v>
      </c>
      <c r="G102" s="0" t="s">
        <v>9</v>
      </c>
      <c r="H102" s="0" t="str">
        <f aca="false">"106-117"</f>
        <v>106-117</v>
      </c>
      <c r="I102" s="0" t="s">
        <v>9</v>
      </c>
      <c r="J102" s="0" t="str">
        <f aca="false">"89-100"</f>
        <v>89-100</v>
      </c>
      <c r="K102" s="0" t="str">
        <f aca="false">"0.88"</f>
        <v>0.88</v>
      </c>
      <c r="L102" s="0" t="str">
        <f aca="false">"10.59"</f>
        <v>10.59</v>
      </c>
      <c r="M102" s="0" t="str">
        <f aca="false">"159.5"</f>
        <v>159.5</v>
      </c>
    </row>
    <row r="103" customFormat="false" ht="14.65" hidden="false" customHeight="false" outlineLevel="0" collapsed="false">
      <c r="A103" s="0" t="s">
        <v>1318</v>
      </c>
      <c r="B103" s="0" t="s">
        <v>13</v>
      </c>
      <c r="C103" s="0" t="str">
        <f aca="false">"185-196"</f>
        <v>185-196</v>
      </c>
      <c r="D103" s="0" t="s">
        <v>13</v>
      </c>
      <c r="E103" s="0" t="str">
        <f aca="false">"329-340"</f>
        <v>329-340</v>
      </c>
      <c r="F103" s="0" t="s">
        <v>1420</v>
      </c>
      <c r="G103" s="0" t="s">
        <v>13</v>
      </c>
      <c r="H103" s="0" t="str">
        <f aca="false">"64-75"</f>
        <v>64-75</v>
      </c>
      <c r="I103" s="0" t="s">
        <v>9</v>
      </c>
      <c r="J103" s="0" t="str">
        <f aca="false">"49-60"</f>
        <v>49-60</v>
      </c>
      <c r="K103" s="0" t="str">
        <f aca="false">"0.85"</f>
        <v>0.85</v>
      </c>
      <c r="L103" s="0" t="str">
        <f aca="false">"11.41"</f>
        <v>11.41</v>
      </c>
      <c r="M103" s="0" t="str">
        <f aca="false">"159.4"</f>
        <v>159.4</v>
      </c>
    </row>
    <row r="104" customFormat="false" ht="14.65" hidden="false" customHeight="false" outlineLevel="0" collapsed="false">
      <c r="A104" s="0" t="s">
        <v>1318</v>
      </c>
      <c r="B104" s="0" t="s">
        <v>13</v>
      </c>
      <c r="C104" s="0" t="str">
        <f aca="false">"187-198"</f>
        <v>187-198</v>
      </c>
      <c r="D104" s="0" t="s">
        <v>13</v>
      </c>
      <c r="E104" s="0" t="str">
        <f aca="false">"325-336"</f>
        <v>325-336</v>
      </c>
      <c r="F104" s="0" t="s">
        <v>1421</v>
      </c>
      <c r="G104" s="0" t="s">
        <v>9</v>
      </c>
      <c r="H104" s="0" t="str">
        <f aca="false">"428-439"</f>
        <v>428-439</v>
      </c>
      <c r="I104" s="0" t="s">
        <v>9</v>
      </c>
      <c r="J104" s="0" t="str">
        <f aca="false">"445-456"</f>
        <v>445-456</v>
      </c>
      <c r="K104" s="0" t="str">
        <f aca="false">"1.05"</f>
        <v>1.05</v>
      </c>
      <c r="L104" s="0" t="str">
        <f aca="false">"9.90"</f>
        <v>9.90</v>
      </c>
      <c r="M104" s="0" t="str">
        <f aca="false">"159.3"</f>
        <v>159.3</v>
      </c>
    </row>
    <row r="105" customFormat="false" ht="14.65" hidden="false" customHeight="false" outlineLevel="0" collapsed="false">
      <c r="A105" s="0" t="s">
        <v>1318</v>
      </c>
      <c r="B105" s="0" t="s">
        <v>13</v>
      </c>
      <c r="C105" s="0" t="str">
        <f aca="false">"189-200"</f>
        <v>189-200</v>
      </c>
      <c r="D105" s="0" t="s">
        <v>13</v>
      </c>
      <c r="E105" s="0" t="str">
        <f aca="false">"322-333"</f>
        <v>322-333</v>
      </c>
      <c r="F105" s="0" t="s">
        <v>1422</v>
      </c>
      <c r="G105" s="0" t="s">
        <v>9</v>
      </c>
      <c r="H105" s="0" t="str">
        <f aca="false">"271-282"</f>
        <v>271-282</v>
      </c>
      <c r="I105" s="0" t="s">
        <v>9</v>
      </c>
      <c r="J105" s="0" t="str">
        <f aca="false">"223-234"</f>
        <v>223-234</v>
      </c>
      <c r="K105" s="0" t="str">
        <f aca="false">"0.71"</f>
        <v>0.71</v>
      </c>
      <c r="L105" s="0" t="str">
        <f aca="false">"11.02"</f>
        <v>11.02</v>
      </c>
      <c r="M105" s="0" t="str">
        <f aca="false">"159.2"</f>
        <v>159.2</v>
      </c>
    </row>
    <row r="106" customFormat="false" ht="14.65" hidden="false" customHeight="false" outlineLevel="0" collapsed="false">
      <c r="A106" s="0" t="s">
        <v>1318</v>
      </c>
      <c r="B106" s="0" t="s">
        <v>13</v>
      </c>
      <c r="C106" s="0" t="str">
        <f aca="false">"185-196"</f>
        <v>185-196</v>
      </c>
      <c r="D106" s="0" t="s">
        <v>13</v>
      </c>
      <c r="E106" s="0" t="str">
        <f aca="false">"328-339"</f>
        <v>328-339</v>
      </c>
      <c r="F106" s="0" t="s">
        <v>1423</v>
      </c>
      <c r="G106" s="0" t="s">
        <v>9</v>
      </c>
      <c r="H106" s="0" t="str">
        <f aca="false">"776-787"</f>
        <v>776-787</v>
      </c>
      <c r="I106" s="0" t="s">
        <v>9</v>
      </c>
      <c r="J106" s="0" t="str">
        <f aca="false">"728-739"</f>
        <v>728-739</v>
      </c>
      <c r="K106" s="0" t="str">
        <f aca="false">"1.03"</f>
        <v>1.03</v>
      </c>
      <c r="L106" s="0" t="str">
        <f aca="false">"10.67"</f>
        <v>10.67</v>
      </c>
      <c r="M106" s="0" t="str">
        <f aca="false">"159.1"</f>
        <v>159.1</v>
      </c>
    </row>
    <row r="107" customFormat="false" ht="14.65" hidden="false" customHeight="false" outlineLevel="0" collapsed="false">
      <c r="A107" s="0" t="s">
        <v>1318</v>
      </c>
      <c r="B107" s="0" t="s">
        <v>13</v>
      </c>
      <c r="C107" s="0" t="str">
        <f aca="false">"182-193"</f>
        <v>182-193</v>
      </c>
      <c r="D107" s="0" t="s">
        <v>13</v>
      </c>
      <c r="E107" s="0" t="str">
        <f aca="false">"329-340"</f>
        <v>329-340</v>
      </c>
      <c r="F107" s="0" t="s">
        <v>1424</v>
      </c>
      <c r="G107" s="0" t="s">
        <v>9</v>
      </c>
      <c r="H107" s="0" t="str">
        <f aca="false">"217-228"</f>
        <v>217-228</v>
      </c>
      <c r="I107" s="0" t="s">
        <v>9</v>
      </c>
      <c r="J107" s="0" t="str">
        <f aca="false">"144-155"</f>
        <v>144-155</v>
      </c>
      <c r="K107" s="0" t="str">
        <f aca="false">"0.99"</f>
        <v>0.99</v>
      </c>
      <c r="L107" s="0" t="str">
        <f aca="false">"10.91"</f>
        <v>10.91</v>
      </c>
      <c r="M107" s="0" t="str">
        <f aca="false">"158.9"</f>
        <v>158.9</v>
      </c>
    </row>
    <row r="108" customFormat="false" ht="14.65" hidden="false" customHeight="false" outlineLevel="0" collapsed="false">
      <c r="A108" s="0" t="s">
        <v>1318</v>
      </c>
      <c r="B108" s="0" t="s">
        <v>13</v>
      </c>
      <c r="C108" s="0" t="str">
        <f aca="false">"185-196"</f>
        <v>185-196</v>
      </c>
      <c r="D108" s="0" t="s">
        <v>13</v>
      </c>
      <c r="E108" s="0" t="str">
        <f aca="false">"325-336"</f>
        <v>325-336</v>
      </c>
      <c r="F108" s="0" t="s">
        <v>1425</v>
      </c>
      <c r="G108" s="0" t="s">
        <v>9</v>
      </c>
      <c r="H108" s="0" t="str">
        <f aca="false">"27-38"</f>
        <v>27-38</v>
      </c>
      <c r="I108" s="0" t="s">
        <v>9</v>
      </c>
      <c r="J108" s="0" t="str">
        <f aca="false">"49-60"</f>
        <v>49-60</v>
      </c>
      <c r="K108" s="0" t="str">
        <f aca="false">"0.82"</f>
        <v>0.82</v>
      </c>
      <c r="L108" s="0" t="str">
        <f aca="false">"11.49"</f>
        <v>11.49</v>
      </c>
      <c r="M108" s="0" t="str">
        <f aca="false">"158.9"</f>
        <v>158.9</v>
      </c>
    </row>
    <row r="109" customFormat="false" ht="14.65" hidden="false" customHeight="false" outlineLevel="0" collapsed="false">
      <c r="A109" s="0" t="s">
        <v>1318</v>
      </c>
      <c r="B109" s="0" t="s">
        <v>13</v>
      </c>
      <c r="C109" s="0" t="str">
        <f aca="false">"186-197"</f>
        <v>186-197</v>
      </c>
      <c r="D109" s="0" t="s">
        <v>13</v>
      </c>
      <c r="E109" s="0" t="str">
        <f aca="false">"326-337"</f>
        <v>326-337</v>
      </c>
      <c r="F109" s="0" t="s">
        <v>1426</v>
      </c>
      <c r="G109" s="0" t="s">
        <v>9</v>
      </c>
      <c r="H109" s="0" t="str">
        <f aca="false">"602-613"</f>
        <v>602-613</v>
      </c>
      <c r="I109" s="0" t="s">
        <v>9</v>
      </c>
      <c r="J109" s="0" t="str">
        <f aca="false">"580-591"</f>
        <v>580-591</v>
      </c>
      <c r="K109" s="0" t="str">
        <f aca="false">"1.07"</f>
        <v>1.07</v>
      </c>
      <c r="L109" s="0" t="str">
        <f aca="false">"10.96"</f>
        <v>10.96</v>
      </c>
      <c r="M109" s="0" t="str">
        <f aca="false">"158.7"</f>
        <v>158.7</v>
      </c>
    </row>
    <row r="110" customFormat="false" ht="14.65" hidden="false" customHeight="false" outlineLevel="0" collapsed="false">
      <c r="A110" s="0" t="s">
        <v>1318</v>
      </c>
      <c r="B110" s="0" t="s">
        <v>13</v>
      </c>
      <c r="C110" s="0" t="str">
        <f aca="false">"189-200"</f>
        <v>189-200</v>
      </c>
      <c r="D110" s="0" t="s">
        <v>13</v>
      </c>
      <c r="E110" s="0" t="str">
        <f aca="false">"322-333"</f>
        <v>322-333</v>
      </c>
      <c r="F110" s="0" t="s">
        <v>1427</v>
      </c>
      <c r="G110" s="0" t="s">
        <v>9</v>
      </c>
      <c r="H110" s="0" t="str">
        <f aca="false">"422-433"</f>
        <v>422-433</v>
      </c>
      <c r="I110" s="0" t="s">
        <v>9</v>
      </c>
      <c r="J110" s="0" t="str">
        <f aca="false">"242-253"</f>
        <v>242-253</v>
      </c>
      <c r="K110" s="0" t="str">
        <f aca="false">"0.52"</f>
        <v>0.52</v>
      </c>
      <c r="L110" s="0" t="str">
        <f aca="false">"10.31"</f>
        <v>10.31</v>
      </c>
      <c r="M110" s="0" t="str">
        <f aca="false">"158.7"</f>
        <v>158.7</v>
      </c>
    </row>
    <row r="111" customFormat="false" ht="14.65" hidden="false" customHeight="false" outlineLevel="0" collapsed="false">
      <c r="A111" s="0" t="s">
        <v>1318</v>
      </c>
      <c r="B111" s="0" t="s">
        <v>13</v>
      </c>
      <c r="C111" s="0" t="str">
        <f aca="false">"181-192"</f>
        <v>181-192</v>
      </c>
      <c r="D111" s="0" t="s">
        <v>13</v>
      </c>
      <c r="E111" s="0" t="str">
        <f aca="false">"329-340"</f>
        <v>329-340</v>
      </c>
      <c r="F111" s="0" t="s">
        <v>1428</v>
      </c>
      <c r="G111" s="0" t="s">
        <v>9</v>
      </c>
      <c r="H111" s="0" t="str">
        <f aca="false">"64-75"</f>
        <v>64-75</v>
      </c>
      <c r="I111" s="0" t="s">
        <v>13</v>
      </c>
      <c r="J111" s="0" t="str">
        <f aca="false">"61-72"</f>
        <v>61-72</v>
      </c>
      <c r="K111" s="0" t="str">
        <f aca="false">"1.24"</f>
        <v>1.24</v>
      </c>
      <c r="L111" s="0" t="str">
        <f aca="false">"12.56"</f>
        <v>12.56</v>
      </c>
      <c r="M111" s="0" t="str">
        <f aca="false">"158.7"</f>
        <v>158.7</v>
      </c>
    </row>
    <row r="112" customFormat="false" ht="14.65" hidden="false" customHeight="false" outlineLevel="0" collapsed="false">
      <c r="A112" s="0" t="s">
        <v>1318</v>
      </c>
      <c r="B112" s="0" t="s">
        <v>13</v>
      </c>
      <c r="C112" s="0" t="str">
        <f aca="false">"185-196"</f>
        <v>185-196</v>
      </c>
      <c r="D112" s="0" t="s">
        <v>13</v>
      </c>
      <c r="E112" s="0" t="str">
        <f aca="false">"325-336"</f>
        <v>325-336</v>
      </c>
      <c r="F112" s="0" t="s">
        <v>1429</v>
      </c>
      <c r="G112" s="0" t="s">
        <v>9</v>
      </c>
      <c r="H112" s="0" t="str">
        <f aca="false">"258-269"</f>
        <v>258-269</v>
      </c>
      <c r="I112" s="0" t="s">
        <v>13</v>
      </c>
      <c r="J112" s="0" t="str">
        <f aca="false">"258-269"</f>
        <v>258-269</v>
      </c>
      <c r="K112" s="0" t="str">
        <f aca="false">"1.10"</f>
        <v>1.10</v>
      </c>
      <c r="L112" s="0" t="str">
        <f aca="false">"9.66"</f>
        <v>9.66</v>
      </c>
      <c r="M112" s="0" t="str">
        <f aca="false">"158.4"</f>
        <v>158.4</v>
      </c>
    </row>
    <row r="113" customFormat="false" ht="14.65" hidden="false" customHeight="false" outlineLevel="0" collapsed="false">
      <c r="A113" s="0" t="s">
        <v>1318</v>
      </c>
      <c r="B113" s="0" t="s">
        <v>13</v>
      </c>
      <c r="C113" s="0" t="str">
        <f aca="false">"189-200"</f>
        <v>189-200</v>
      </c>
      <c r="D113" s="0" t="s">
        <v>13</v>
      </c>
      <c r="E113" s="0" t="str">
        <f aca="false">"322-333"</f>
        <v>322-333</v>
      </c>
      <c r="F113" s="0" t="s">
        <v>1430</v>
      </c>
      <c r="G113" s="0" t="s">
        <v>13</v>
      </c>
      <c r="H113" s="0" t="str">
        <f aca="false">"104-115"</f>
        <v>104-115</v>
      </c>
      <c r="I113" s="0" t="s">
        <v>13</v>
      </c>
      <c r="J113" s="0" t="str">
        <f aca="false">"124-135"</f>
        <v>124-135</v>
      </c>
      <c r="K113" s="0" t="str">
        <f aca="false">"1.06"</f>
        <v>1.06</v>
      </c>
      <c r="L113" s="0" t="str">
        <f aca="false">"10.80"</f>
        <v>10.80</v>
      </c>
      <c r="M113" s="0" t="str">
        <f aca="false">"158.3"</f>
        <v>158.3</v>
      </c>
    </row>
    <row r="114" customFormat="false" ht="14.65" hidden="false" customHeight="false" outlineLevel="0" collapsed="false">
      <c r="A114" s="0" t="s">
        <v>1318</v>
      </c>
      <c r="B114" s="0" t="s">
        <v>13</v>
      </c>
      <c r="C114" s="0" t="str">
        <f aca="false">"187-198"</f>
        <v>187-198</v>
      </c>
      <c r="D114" s="0" t="s">
        <v>13</v>
      </c>
      <c r="E114" s="0" t="str">
        <f aca="false">"325-336"</f>
        <v>325-336</v>
      </c>
      <c r="F114" s="0" t="s">
        <v>1431</v>
      </c>
      <c r="G114" s="0" t="s">
        <v>9</v>
      </c>
      <c r="H114" s="0" t="str">
        <f aca="false">"49-60"</f>
        <v>49-60</v>
      </c>
      <c r="I114" s="0" t="s">
        <v>9</v>
      </c>
      <c r="J114" s="0" t="str">
        <f aca="false">"126-137"</f>
        <v>126-137</v>
      </c>
      <c r="K114" s="0" t="str">
        <f aca="false">"1.01"</f>
        <v>1.01</v>
      </c>
      <c r="L114" s="0" t="str">
        <f aca="false">"9.81"</f>
        <v>9.81</v>
      </c>
      <c r="M114" s="0" t="str">
        <f aca="false">"158.3"</f>
        <v>158.3</v>
      </c>
    </row>
    <row r="115" customFormat="false" ht="14.65" hidden="false" customHeight="false" outlineLevel="0" collapsed="false">
      <c r="A115" s="0" t="s">
        <v>1318</v>
      </c>
      <c r="B115" s="0" t="s">
        <v>13</v>
      </c>
      <c r="C115" s="0" t="str">
        <f aca="false">"189-200"</f>
        <v>189-200</v>
      </c>
      <c r="D115" s="0" t="s">
        <v>13</v>
      </c>
      <c r="E115" s="0" t="str">
        <f aca="false">"322-333"</f>
        <v>322-333</v>
      </c>
      <c r="F115" s="0" t="s">
        <v>1432</v>
      </c>
      <c r="G115" s="0" t="s">
        <v>9</v>
      </c>
      <c r="H115" s="0" t="str">
        <f aca="false">"121-132"</f>
        <v>121-132</v>
      </c>
      <c r="I115" s="0" t="s">
        <v>9</v>
      </c>
      <c r="J115" s="0" t="str">
        <f aca="false">"42-53"</f>
        <v>42-53</v>
      </c>
      <c r="K115" s="0" t="str">
        <f aca="false">"1.19"</f>
        <v>1.19</v>
      </c>
      <c r="L115" s="0" t="str">
        <f aca="false">"9.77"</f>
        <v>9.77</v>
      </c>
      <c r="M115" s="0" t="str">
        <f aca="false">"158.0"</f>
        <v>158.0</v>
      </c>
    </row>
    <row r="116" customFormat="false" ht="14.65" hidden="false" customHeight="false" outlineLevel="0" collapsed="false">
      <c r="A116" s="0" t="s">
        <v>1318</v>
      </c>
      <c r="B116" s="0" t="s">
        <v>13</v>
      </c>
      <c r="C116" s="0" t="str">
        <f aca="false">"188-199"</f>
        <v>188-199</v>
      </c>
      <c r="D116" s="0" t="s">
        <v>13</v>
      </c>
      <c r="E116" s="0" t="str">
        <f aca="false">"324-335"</f>
        <v>324-335</v>
      </c>
      <c r="F116" s="0" t="s">
        <v>1433</v>
      </c>
      <c r="G116" s="0" t="s">
        <v>13</v>
      </c>
      <c r="H116" s="0" t="str">
        <f aca="false">"62-73"</f>
        <v>62-73</v>
      </c>
      <c r="I116" s="0" t="s">
        <v>9</v>
      </c>
      <c r="J116" s="0" t="str">
        <f aca="false">"62-73"</f>
        <v>62-73</v>
      </c>
      <c r="K116" s="0" t="str">
        <f aca="false">"0.86"</f>
        <v>0.86</v>
      </c>
      <c r="L116" s="0" t="str">
        <f aca="false">"11.48"</f>
        <v>11.48</v>
      </c>
      <c r="M116" s="0" t="str">
        <f aca="false">"158.0"</f>
        <v>158.0</v>
      </c>
    </row>
    <row r="117" customFormat="false" ht="14.65" hidden="false" customHeight="false" outlineLevel="0" collapsed="false">
      <c r="A117" s="0" t="s">
        <v>1318</v>
      </c>
      <c r="B117" s="0" t="s">
        <v>13</v>
      </c>
      <c r="C117" s="0" t="str">
        <f aca="false">"182-193"</f>
        <v>182-193</v>
      </c>
      <c r="D117" s="0" t="s">
        <v>13</v>
      </c>
      <c r="E117" s="0" t="str">
        <f aca="false">"329-340"</f>
        <v>329-340</v>
      </c>
      <c r="F117" s="0" t="s">
        <v>1434</v>
      </c>
      <c r="G117" s="0" t="s">
        <v>9</v>
      </c>
      <c r="H117" s="0" t="str">
        <f aca="false">"580-591"</f>
        <v>580-591</v>
      </c>
      <c r="I117" s="0" t="s">
        <v>9</v>
      </c>
      <c r="J117" s="0" t="str">
        <f aca="false">"504-515"</f>
        <v>504-515</v>
      </c>
      <c r="K117" s="0" t="str">
        <f aca="false">"1.23"</f>
        <v>1.23</v>
      </c>
      <c r="L117" s="0" t="str">
        <f aca="false">"11.93"</f>
        <v>11.93</v>
      </c>
      <c r="M117" s="0" t="str">
        <f aca="false">"157.9"</f>
        <v>157.9</v>
      </c>
    </row>
    <row r="118" customFormat="false" ht="14.65" hidden="false" customHeight="false" outlineLevel="0" collapsed="false">
      <c r="A118" s="0" t="s">
        <v>1318</v>
      </c>
      <c r="B118" s="0" t="s">
        <v>13</v>
      </c>
      <c r="C118" s="0" t="str">
        <f aca="false">"189-200"</f>
        <v>189-200</v>
      </c>
      <c r="D118" s="0" t="s">
        <v>13</v>
      </c>
      <c r="E118" s="0" t="str">
        <f aca="false">"322-333"</f>
        <v>322-333</v>
      </c>
      <c r="F118" s="0" t="s">
        <v>1435</v>
      </c>
      <c r="G118" s="0" t="s">
        <v>9</v>
      </c>
      <c r="H118" s="0" t="str">
        <f aca="false">"112-123"</f>
        <v>112-123</v>
      </c>
      <c r="I118" s="0" t="s">
        <v>9</v>
      </c>
      <c r="J118" s="0" t="str">
        <f aca="false">"130-141"</f>
        <v>130-141</v>
      </c>
      <c r="K118" s="0" t="str">
        <f aca="false">"1.21"</f>
        <v>1.21</v>
      </c>
      <c r="L118" s="0" t="str">
        <f aca="false">"10.37"</f>
        <v>10.37</v>
      </c>
      <c r="M118" s="0" t="str">
        <f aca="false">"157.7"</f>
        <v>157.7</v>
      </c>
    </row>
    <row r="119" customFormat="false" ht="14.65" hidden="false" customHeight="false" outlineLevel="0" collapsed="false">
      <c r="A119" s="0" t="s">
        <v>1318</v>
      </c>
      <c r="B119" s="0" t="s">
        <v>13</v>
      </c>
      <c r="C119" s="0" t="str">
        <f aca="false">"189-200"</f>
        <v>189-200</v>
      </c>
      <c r="D119" s="0" t="s">
        <v>13</v>
      </c>
      <c r="E119" s="0" t="str">
        <f aca="false">"322-333"</f>
        <v>322-333</v>
      </c>
      <c r="F119" s="0" t="s">
        <v>1436</v>
      </c>
      <c r="G119" s="0" t="s">
        <v>9</v>
      </c>
      <c r="H119" s="0" t="str">
        <f aca="false">"387-398"</f>
        <v>387-398</v>
      </c>
      <c r="I119" s="0" t="s">
        <v>9</v>
      </c>
      <c r="J119" s="0" t="str">
        <f aca="false">"352-363"</f>
        <v>352-363</v>
      </c>
      <c r="K119" s="0" t="str">
        <f aca="false">"1.19"</f>
        <v>1.19</v>
      </c>
      <c r="L119" s="0" t="str">
        <f aca="false">"11.37"</f>
        <v>11.37</v>
      </c>
      <c r="M119" s="0" t="str">
        <f aca="false">"157.7"</f>
        <v>157.7</v>
      </c>
    </row>
    <row r="120" customFormat="false" ht="14.65" hidden="false" customHeight="false" outlineLevel="0" collapsed="false">
      <c r="A120" s="0" t="s">
        <v>1318</v>
      </c>
      <c r="B120" s="0" t="s">
        <v>13</v>
      </c>
      <c r="C120" s="0" t="str">
        <f aca="false">"182-193"</f>
        <v>182-193</v>
      </c>
      <c r="D120" s="0" t="s">
        <v>13</v>
      </c>
      <c r="E120" s="0" t="str">
        <f aca="false">"329-340"</f>
        <v>329-340</v>
      </c>
      <c r="F120" s="0" t="s">
        <v>1437</v>
      </c>
      <c r="G120" s="0" t="s">
        <v>9</v>
      </c>
      <c r="H120" s="0" t="str">
        <f aca="false">"35-46"</f>
        <v>35-46</v>
      </c>
      <c r="I120" s="0" t="s">
        <v>9</v>
      </c>
      <c r="J120" s="0" t="str">
        <f aca="false">"60-71"</f>
        <v>60-71</v>
      </c>
      <c r="K120" s="0" t="str">
        <f aca="false">"1.17"</f>
        <v>1.17</v>
      </c>
      <c r="L120" s="0" t="str">
        <f aca="false">"10.87"</f>
        <v>10.87</v>
      </c>
      <c r="M120" s="0" t="str">
        <f aca="false">"157.5"</f>
        <v>157.5</v>
      </c>
    </row>
    <row r="121" customFormat="false" ht="14.65" hidden="false" customHeight="false" outlineLevel="0" collapsed="false">
      <c r="A121" s="0" t="s">
        <v>1318</v>
      </c>
      <c r="B121" s="0" t="s">
        <v>13</v>
      </c>
      <c r="C121" s="0" t="str">
        <f aca="false">"189-200"</f>
        <v>189-200</v>
      </c>
      <c r="D121" s="0" t="s">
        <v>13</v>
      </c>
      <c r="E121" s="0" t="str">
        <f aca="false">"331-342"</f>
        <v>331-342</v>
      </c>
      <c r="F121" s="0" t="s">
        <v>1438</v>
      </c>
      <c r="G121" s="0" t="s">
        <v>9</v>
      </c>
      <c r="H121" s="0" t="str">
        <f aca="false">"520-531"</f>
        <v>520-531</v>
      </c>
      <c r="I121" s="0" t="s">
        <v>9</v>
      </c>
      <c r="J121" s="0" t="str">
        <f aca="false">"196-207"</f>
        <v>196-207</v>
      </c>
      <c r="K121" s="0" t="str">
        <f aca="false">"0.98"</f>
        <v>0.98</v>
      </c>
      <c r="L121" s="0" t="str">
        <f aca="false">"14.20"</f>
        <v>14.20</v>
      </c>
      <c r="M121" s="0" t="str">
        <f aca="false">"157.3"</f>
        <v>157.3</v>
      </c>
    </row>
    <row r="122" customFormat="false" ht="14.65" hidden="false" customHeight="false" outlineLevel="0" collapsed="false">
      <c r="A122" s="0" t="s">
        <v>1318</v>
      </c>
      <c r="B122" s="0" t="s">
        <v>13</v>
      </c>
      <c r="C122" s="0" t="str">
        <f aca="false">"189-200"</f>
        <v>189-200</v>
      </c>
      <c r="D122" s="0" t="s">
        <v>13</v>
      </c>
      <c r="E122" s="0" t="str">
        <f aca="false">"322-333"</f>
        <v>322-333</v>
      </c>
      <c r="F122" s="0" t="s">
        <v>1439</v>
      </c>
      <c r="G122" s="0" t="s">
        <v>70</v>
      </c>
      <c r="H122" s="0" t="str">
        <f aca="false">"248-259"</f>
        <v>248-259</v>
      </c>
      <c r="I122" s="0" t="s">
        <v>70</v>
      </c>
      <c r="J122" s="0" t="str">
        <f aca="false">"308-319"</f>
        <v>308-319</v>
      </c>
      <c r="K122" s="0" t="str">
        <f aca="false">"0.75"</f>
        <v>0.75</v>
      </c>
      <c r="L122" s="0" t="str">
        <f aca="false">"10.77"</f>
        <v>10.77</v>
      </c>
      <c r="M122" s="0" t="str">
        <f aca="false">"157.2"</f>
        <v>157.2</v>
      </c>
    </row>
    <row r="123" customFormat="false" ht="14.65" hidden="false" customHeight="false" outlineLevel="0" collapsed="false">
      <c r="A123" s="0" t="s">
        <v>1318</v>
      </c>
      <c r="B123" s="0" t="s">
        <v>13</v>
      </c>
      <c r="C123" s="0" t="str">
        <f aca="false">"185-196"</f>
        <v>185-196</v>
      </c>
      <c r="D123" s="0" t="s">
        <v>13</v>
      </c>
      <c r="E123" s="0" t="str">
        <f aca="false">"325-336"</f>
        <v>325-336</v>
      </c>
      <c r="F123" s="0" t="s">
        <v>1440</v>
      </c>
      <c r="G123" s="0" t="s">
        <v>9</v>
      </c>
      <c r="H123" s="0" t="str">
        <f aca="false">"314-325"</f>
        <v>314-325</v>
      </c>
      <c r="I123" s="0" t="s">
        <v>9</v>
      </c>
      <c r="J123" s="0" t="str">
        <f aca="false">"187-198"</f>
        <v>187-198</v>
      </c>
      <c r="K123" s="0" t="str">
        <f aca="false">"1.15"</f>
        <v>1.15</v>
      </c>
      <c r="L123" s="0" t="str">
        <f aca="false">"12.08"</f>
        <v>12.08</v>
      </c>
      <c r="M123" s="0" t="str">
        <f aca="false">"156.9"</f>
        <v>156.9</v>
      </c>
    </row>
    <row r="124" customFormat="false" ht="14.65" hidden="false" customHeight="false" outlineLevel="0" collapsed="false">
      <c r="A124" s="0" t="s">
        <v>1318</v>
      </c>
      <c r="B124" s="0" t="s">
        <v>13</v>
      </c>
      <c r="C124" s="0" t="str">
        <f aca="false">"189-200"</f>
        <v>189-200</v>
      </c>
      <c r="D124" s="0" t="s">
        <v>13</v>
      </c>
      <c r="E124" s="0" t="str">
        <f aca="false">"322-333"</f>
        <v>322-333</v>
      </c>
      <c r="F124" s="0" t="s">
        <v>1441</v>
      </c>
      <c r="G124" s="0" t="s">
        <v>9</v>
      </c>
      <c r="H124" s="0" t="str">
        <f aca="false">"86-97"</f>
        <v>86-97</v>
      </c>
      <c r="I124" s="0" t="s">
        <v>9</v>
      </c>
      <c r="J124" s="0" t="str">
        <f aca="false">"113-124"</f>
        <v>113-124</v>
      </c>
      <c r="K124" s="0" t="str">
        <f aca="false">"1.22"</f>
        <v>1.22</v>
      </c>
      <c r="L124" s="0" t="str">
        <f aca="false">"11.48"</f>
        <v>11.48</v>
      </c>
      <c r="M124" s="0" t="str">
        <f aca="false">"156.5"</f>
        <v>156.5</v>
      </c>
    </row>
    <row r="125" customFormat="false" ht="14.65" hidden="false" customHeight="false" outlineLevel="0" collapsed="false">
      <c r="A125" s="0" t="s">
        <v>1318</v>
      </c>
      <c r="B125" s="0" t="s">
        <v>13</v>
      </c>
      <c r="C125" s="0" t="str">
        <f aca="false">"186-197"</f>
        <v>186-197</v>
      </c>
      <c r="D125" s="0" t="s">
        <v>13</v>
      </c>
      <c r="E125" s="0" t="str">
        <f aca="false">"326-337"</f>
        <v>326-337</v>
      </c>
      <c r="F125" s="0" t="s">
        <v>1442</v>
      </c>
      <c r="G125" s="0" t="s">
        <v>9</v>
      </c>
      <c r="H125" s="0" t="str">
        <f aca="false">"151-162"</f>
        <v>151-162</v>
      </c>
      <c r="I125" s="0" t="s">
        <v>13</v>
      </c>
      <c r="J125" s="0" t="str">
        <f aca="false">"151-162"</f>
        <v>151-162</v>
      </c>
      <c r="K125" s="0" t="str">
        <f aca="false">"0.84"</f>
        <v>0.84</v>
      </c>
      <c r="L125" s="0" t="str">
        <f aca="false">"9.77"</f>
        <v>9.77</v>
      </c>
      <c r="M125" s="0" t="str">
        <f aca="false">"156.4"</f>
        <v>156.4</v>
      </c>
    </row>
    <row r="126" customFormat="false" ht="14.65" hidden="false" customHeight="false" outlineLevel="0" collapsed="false">
      <c r="A126" s="0" t="s">
        <v>1318</v>
      </c>
      <c r="B126" s="0" t="s">
        <v>13</v>
      </c>
      <c r="C126" s="0" t="str">
        <f aca="false">"183-194"</f>
        <v>183-194</v>
      </c>
      <c r="D126" s="0" t="s">
        <v>13</v>
      </c>
      <c r="E126" s="0" t="str">
        <f aca="false">"329-340"</f>
        <v>329-340</v>
      </c>
      <c r="F126" s="0" t="s">
        <v>1443</v>
      </c>
      <c r="G126" s="0" t="s">
        <v>9</v>
      </c>
      <c r="H126" s="0" t="str">
        <f aca="false">"220-231"</f>
        <v>220-231</v>
      </c>
      <c r="I126" s="0" t="s">
        <v>9</v>
      </c>
      <c r="J126" s="0" t="str">
        <f aca="false">"147-158"</f>
        <v>147-158</v>
      </c>
      <c r="K126" s="0" t="str">
        <f aca="false">"1.10"</f>
        <v>1.10</v>
      </c>
      <c r="L126" s="0" t="str">
        <f aca="false">"11.04"</f>
        <v>11.04</v>
      </c>
      <c r="M126" s="0" t="str">
        <f aca="false">"156.3"</f>
        <v>156.3</v>
      </c>
    </row>
    <row r="127" customFormat="false" ht="14.65" hidden="false" customHeight="false" outlineLevel="0" collapsed="false">
      <c r="A127" s="0" t="s">
        <v>1318</v>
      </c>
      <c r="B127" s="0" t="s">
        <v>13</v>
      </c>
      <c r="C127" s="0" t="str">
        <f aca="false">"184-195"</f>
        <v>184-195</v>
      </c>
      <c r="D127" s="0" t="s">
        <v>13</v>
      </c>
      <c r="E127" s="0" t="str">
        <f aca="false">"326-337"</f>
        <v>326-337</v>
      </c>
      <c r="F127" s="0" t="s">
        <v>1444</v>
      </c>
      <c r="G127" s="0" t="s">
        <v>24</v>
      </c>
      <c r="H127" s="0" t="str">
        <f aca="false">"272-283"</f>
        <v>272-283</v>
      </c>
      <c r="I127" s="0" t="s">
        <v>24</v>
      </c>
      <c r="J127" s="0" t="str">
        <f aca="false">"286-297"</f>
        <v>286-297</v>
      </c>
      <c r="K127" s="0" t="str">
        <f aca="false">"1.19"</f>
        <v>1.19</v>
      </c>
      <c r="L127" s="0" t="str">
        <f aca="false">"10.60"</f>
        <v>10.60</v>
      </c>
      <c r="M127" s="0" t="str">
        <f aca="false">"156.1"</f>
        <v>156.1</v>
      </c>
    </row>
    <row r="128" customFormat="false" ht="14.65" hidden="false" customHeight="false" outlineLevel="0" collapsed="false">
      <c r="A128" s="0" t="s">
        <v>1318</v>
      </c>
      <c r="B128" s="0" t="s">
        <v>13</v>
      </c>
      <c r="C128" s="0" t="str">
        <f aca="false">"181-192"</f>
        <v>181-192</v>
      </c>
      <c r="D128" s="0" t="s">
        <v>13</v>
      </c>
      <c r="E128" s="0" t="str">
        <f aca="false">"332-343"</f>
        <v>332-343</v>
      </c>
      <c r="F128" s="0" t="s">
        <v>1445</v>
      </c>
      <c r="G128" s="0" t="s">
        <v>13</v>
      </c>
      <c r="H128" s="0" t="str">
        <f aca="false">"258-269"</f>
        <v>258-269</v>
      </c>
      <c r="I128" s="0" t="s">
        <v>9</v>
      </c>
      <c r="J128" s="0" t="str">
        <f aca="false">"258-269"</f>
        <v>258-269</v>
      </c>
      <c r="K128" s="0" t="str">
        <f aca="false">"1.19"</f>
        <v>1.19</v>
      </c>
      <c r="L128" s="0" t="str">
        <f aca="false">"12.19"</f>
        <v>12.19</v>
      </c>
      <c r="M128" s="0" t="str">
        <f aca="false">"156.1"</f>
        <v>156.1</v>
      </c>
    </row>
    <row r="129" customFormat="false" ht="14.65" hidden="false" customHeight="false" outlineLevel="0" collapsed="false">
      <c r="A129" s="0" t="s">
        <v>1318</v>
      </c>
      <c r="B129" s="0" t="s">
        <v>13</v>
      </c>
      <c r="C129" s="0" t="str">
        <f aca="false">"186-197"</f>
        <v>186-197</v>
      </c>
      <c r="D129" s="0" t="s">
        <v>13</v>
      </c>
      <c r="E129" s="0" t="str">
        <f aca="false">"322-333"</f>
        <v>322-333</v>
      </c>
      <c r="F129" s="0" t="s">
        <v>1446</v>
      </c>
      <c r="G129" s="0" t="s">
        <v>9</v>
      </c>
      <c r="H129" s="0" t="str">
        <f aca="false">"12-23"</f>
        <v>12-23</v>
      </c>
      <c r="I129" s="0" t="s">
        <v>13</v>
      </c>
      <c r="J129" s="0" t="str">
        <f aca="false">"28-39"</f>
        <v>28-39</v>
      </c>
      <c r="K129" s="0" t="str">
        <f aca="false">"0.71"</f>
        <v>0.71</v>
      </c>
      <c r="L129" s="0" t="str">
        <f aca="false">"11.55"</f>
        <v>11.55</v>
      </c>
      <c r="M129" s="0" t="str">
        <f aca="false">"155.9"</f>
        <v>155.9</v>
      </c>
    </row>
    <row r="130" customFormat="false" ht="14.65" hidden="false" customHeight="false" outlineLevel="0" collapsed="false">
      <c r="A130" s="0" t="s">
        <v>1318</v>
      </c>
      <c r="B130" s="0" t="s">
        <v>13</v>
      </c>
      <c r="C130" s="0" t="str">
        <f aca="false">"182-193"</f>
        <v>182-193</v>
      </c>
      <c r="D130" s="0" t="s">
        <v>13</v>
      </c>
      <c r="E130" s="0" t="str">
        <f aca="false">"329-340"</f>
        <v>329-340</v>
      </c>
      <c r="F130" s="0" t="s">
        <v>1447</v>
      </c>
      <c r="G130" s="0" t="s">
        <v>9</v>
      </c>
      <c r="H130" s="0" t="str">
        <f aca="false">"382-393"</f>
        <v>382-393</v>
      </c>
      <c r="I130" s="0" t="s">
        <v>9</v>
      </c>
      <c r="J130" s="0" t="str">
        <f aca="false">"481-492"</f>
        <v>481-492</v>
      </c>
      <c r="K130" s="0" t="str">
        <f aca="false">"0.94"</f>
        <v>0.94</v>
      </c>
      <c r="L130" s="0" t="str">
        <f aca="false">"10.58"</f>
        <v>10.58</v>
      </c>
      <c r="M130" s="0" t="str">
        <f aca="false">"155.7"</f>
        <v>155.7</v>
      </c>
    </row>
    <row r="131" customFormat="false" ht="14.65" hidden="false" customHeight="false" outlineLevel="0" collapsed="false">
      <c r="A131" s="0" t="s">
        <v>1318</v>
      </c>
      <c r="B131" s="0" t="s">
        <v>13</v>
      </c>
      <c r="C131" s="0" t="str">
        <f aca="false">"186-197"</f>
        <v>186-197</v>
      </c>
      <c r="D131" s="0" t="s">
        <v>13</v>
      </c>
      <c r="E131" s="0" t="str">
        <f aca="false">"326-337"</f>
        <v>326-337</v>
      </c>
      <c r="F131" s="0" t="s">
        <v>1448</v>
      </c>
      <c r="G131" s="0" t="s">
        <v>9</v>
      </c>
      <c r="H131" s="0" t="str">
        <f aca="false">"211-222"</f>
        <v>211-222</v>
      </c>
      <c r="I131" s="0" t="s">
        <v>9</v>
      </c>
      <c r="J131" s="0" t="str">
        <f aca="false">"119-130"</f>
        <v>119-130</v>
      </c>
      <c r="K131" s="0" t="str">
        <f aca="false">"0.89"</f>
        <v>0.89</v>
      </c>
      <c r="L131" s="0" t="str">
        <f aca="false">"10.86"</f>
        <v>10.86</v>
      </c>
      <c r="M131" s="0" t="str">
        <f aca="false">"155.4"</f>
        <v>155.4</v>
      </c>
    </row>
    <row r="132" customFormat="false" ht="14.65" hidden="false" customHeight="false" outlineLevel="0" collapsed="false">
      <c r="A132" s="0" t="s">
        <v>1318</v>
      </c>
      <c r="B132" s="0" t="s">
        <v>13</v>
      </c>
      <c r="C132" s="0" t="str">
        <f aca="false">"189-200"</f>
        <v>189-200</v>
      </c>
      <c r="D132" s="0" t="s">
        <v>13</v>
      </c>
      <c r="E132" s="0" t="str">
        <f aca="false">"322-333"</f>
        <v>322-333</v>
      </c>
      <c r="F132" s="0" t="s">
        <v>1449</v>
      </c>
      <c r="G132" s="0" t="s">
        <v>9</v>
      </c>
      <c r="H132" s="0" t="str">
        <f aca="false">"90-101"</f>
        <v>90-101</v>
      </c>
      <c r="I132" s="0" t="s">
        <v>9</v>
      </c>
      <c r="J132" s="0" t="str">
        <f aca="false">"30-41"</f>
        <v>30-41</v>
      </c>
      <c r="K132" s="0" t="str">
        <f aca="false">"1.10"</f>
        <v>1.10</v>
      </c>
      <c r="L132" s="0" t="str">
        <f aca="false">"10.54"</f>
        <v>10.54</v>
      </c>
      <c r="M132" s="0" t="str">
        <f aca="false">"155.3"</f>
        <v>155.3</v>
      </c>
    </row>
    <row r="133" customFormat="false" ht="14.65" hidden="false" customHeight="false" outlineLevel="0" collapsed="false">
      <c r="A133" s="0" t="s">
        <v>1318</v>
      </c>
      <c r="B133" s="0" t="s">
        <v>13</v>
      </c>
      <c r="C133" s="0" t="str">
        <f aca="false">"185-196"</f>
        <v>185-196</v>
      </c>
      <c r="D133" s="0" t="s">
        <v>13</v>
      </c>
      <c r="E133" s="0" t="str">
        <f aca="false">"325-336"</f>
        <v>325-336</v>
      </c>
      <c r="F133" s="0" t="s">
        <v>1450</v>
      </c>
      <c r="G133" s="0" t="s">
        <v>9</v>
      </c>
      <c r="H133" s="0" t="str">
        <f aca="false">"48-59"</f>
        <v>48-59</v>
      </c>
      <c r="I133" s="0" t="s">
        <v>9</v>
      </c>
      <c r="J133" s="0" t="str">
        <f aca="false">"25-36"</f>
        <v>25-36</v>
      </c>
      <c r="K133" s="0" t="str">
        <f aca="false">"1.02"</f>
        <v>1.02</v>
      </c>
      <c r="L133" s="0" t="str">
        <f aca="false">"10.79"</f>
        <v>10.79</v>
      </c>
      <c r="M133" s="0" t="str">
        <f aca="false">"155.2"</f>
        <v>155.2</v>
      </c>
    </row>
    <row r="134" customFormat="false" ht="14.65" hidden="false" customHeight="false" outlineLevel="0" collapsed="false">
      <c r="A134" s="0" t="s">
        <v>1318</v>
      </c>
      <c r="B134" s="0" t="s">
        <v>13</v>
      </c>
      <c r="C134" s="0" t="str">
        <f aca="false">"182-193"</f>
        <v>182-193</v>
      </c>
      <c r="D134" s="0" t="s">
        <v>13</v>
      </c>
      <c r="E134" s="0" t="str">
        <f aca="false">"326-337"</f>
        <v>326-337</v>
      </c>
      <c r="F134" s="0" t="s">
        <v>1451</v>
      </c>
      <c r="G134" s="0" t="s">
        <v>9</v>
      </c>
      <c r="H134" s="0" t="str">
        <f aca="false">"111-122"</f>
        <v>111-122</v>
      </c>
      <c r="I134" s="0" t="s">
        <v>9</v>
      </c>
      <c r="J134" s="0" t="str">
        <f aca="false">"294-305"</f>
        <v>294-305</v>
      </c>
      <c r="K134" s="0" t="str">
        <f aca="false">"1.16"</f>
        <v>1.16</v>
      </c>
      <c r="L134" s="0" t="str">
        <f aca="false">"12.20"</f>
        <v>12.20</v>
      </c>
      <c r="M134" s="0" t="str">
        <f aca="false">"154.9"</f>
        <v>154.9</v>
      </c>
    </row>
    <row r="135" customFormat="false" ht="14.65" hidden="false" customHeight="false" outlineLevel="0" collapsed="false">
      <c r="A135" s="0" t="s">
        <v>1318</v>
      </c>
      <c r="B135" s="0" t="s">
        <v>13</v>
      </c>
      <c r="C135" s="0" t="str">
        <f aca="false">"182-193"</f>
        <v>182-193</v>
      </c>
      <c r="D135" s="0" t="s">
        <v>13</v>
      </c>
      <c r="E135" s="0" t="str">
        <f aca="false">"330-341"</f>
        <v>330-341</v>
      </c>
      <c r="F135" s="0" t="s">
        <v>1452</v>
      </c>
      <c r="G135" s="0" t="s">
        <v>9</v>
      </c>
      <c r="H135" s="0" t="str">
        <f aca="false">"12-23"</f>
        <v>12-23</v>
      </c>
      <c r="I135" s="0" t="s">
        <v>9</v>
      </c>
      <c r="J135" s="0" t="str">
        <f aca="false">"204-215"</f>
        <v>204-215</v>
      </c>
      <c r="K135" s="0" t="str">
        <f aca="false">"1.05"</f>
        <v>1.05</v>
      </c>
      <c r="L135" s="0" t="str">
        <f aca="false">"10.21"</f>
        <v>10.21</v>
      </c>
      <c r="M135" s="0" t="str">
        <f aca="false">"154.9"</f>
        <v>154.9</v>
      </c>
    </row>
    <row r="136" customFormat="false" ht="14.65" hidden="false" customHeight="false" outlineLevel="0" collapsed="false">
      <c r="A136" s="0" t="s">
        <v>1318</v>
      </c>
      <c r="B136" s="0" t="s">
        <v>13</v>
      </c>
      <c r="C136" s="0" t="str">
        <f aca="false">"189-200"</f>
        <v>189-200</v>
      </c>
      <c r="D136" s="0" t="s">
        <v>13</v>
      </c>
      <c r="E136" s="0" t="str">
        <f aca="false">"324-335"</f>
        <v>324-335</v>
      </c>
      <c r="F136" s="0" t="s">
        <v>1453</v>
      </c>
      <c r="G136" s="0" t="s">
        <v>9</v>
      </c>
      <c r="H136" s="0" t="str">
        <f aca="false">"99-110"</f>
        <v>99-110</v>
      </c>
      <c r="I136" s="0" t="s">
        <v>9</v>
      </c>
      <c r="J136" s="0" t="str">
        <f aca="false">"218-229"</f>
        <v>218-229</v>
      </c>
      <c r="K136" s="0" t="str">
        <f aca="false">"1.00"</f>
        <v>1.00</v>
      </c>
      <c r="L136" s="0" t="str">
        <f aca="false">"10.69"</f>
        <v>10.69</v>
      </c>
      <c r="M136" s="0" t="str">
        <f aca="false">"154.8"</f>
        <v>154.8</v>
      </c>
    </row>
    <row r="137" customFormat="false" ht="14.65" hidden="false" customHeight="false" outlineLevel="0" collapsed="false">
      <c r="A137" s="0" t="s">
        <v>1318</v>
      </c>
      <c r="B137" s="0" t="s">
        <v>13</v>
      </c>
      <c r="C137" s="0" t="str">
        <f aca="false">"186-197"</f>
        <v>186-197</v>
      </c>
      <c r="D137" s="0" t="s">
        <v>13</v>
      </c>
      <c r="E137" s="0" t="str">
        <f aca="false">"325-336"</f>
        <v>325-336</v>
      </c>
      <c r="F137" s="0" t="s">
        <v>1454</v>
      </c>
      <c r="G137" s="0" t="s">
        <v>9</v>
      </c>
      <c r="H137" s="0" t="str">
        <f aca="false">"232-243"</f>
        <v>232-243</v>
      </c>
      <c r="I137" s="0" t="s">
        <v>9</v>
      </c>
      <c r="J137" s="0" t="str">
        <f aca="false">"208-219"</f>
        <v>208-219</v>
      </c>
      <c r="K137" s="0" t="str">
        <f aca="false">"1.03"</f>
        <v>1.03</v>
      </c>
      <c r="L137" s="0" t="str">
        <f aca="false">"10.93"</f>
        <v>10.93</v>
      </c>
      <c r="M137" s="0" t="str">
        <f aca="false">"154.8"</f>
        <v>154.8</v>
      </c>
    </row>
    <row r="138" customFormat="false" ht="14.65" hidden="false" customHeight="false" outlineLevel="0" collapsed="false">
      <c r="A138" s="0" t="s">
        <v>1318</v>
      </c>
      <c r="B138" s="0" t="s">
        <v>13</v>
      </c>
      <c r="C138" s="0" t="str">
        <f aca="false">"179-190"</f>
        <v>179-190</v>
      </c>
      <c r="D138" s="0" t="s">
        <v>13</v>
      </c>
      <c r="E138" s="0" t="str">
        <f aca="false">"332-343"</f>
        <v>332-343</v>
      </c>
      <c r="F138" s="0" t="s">
        <v>1455</v>
      </c>
      <c r="G138" s="0" t="s">
        <v>9</v>
      </c>
      <c r="H138" s="0" t="str">
        <f aca="false">"179-190"</f>
        <v>179-190</v>
      </c>
      <c r="I138" s="0" t="s">
        <v>9</v>
      </c>
      <c r="J138" s="0" t="str">
        <f aca="false">"77-88"</f>
        <v>77-88</v>
      </c>
      <c r="K138" s="0" t="str">
        <f aca="false">"1.18"</f>
        <v>1.18</v>
      </c>
      <c r="L138" s="0" t="str">
        <f aca="false">"11.32"</f>
        <v>11.32</v>
      </c>
      <c r="M138" s="0" t="str">
        <f aca="false">"154.6"</f>
        <v>154.6</v>
      </c>
    </row>
    <row r="139" customFormat="false" ht="14.65" hidden="false" customHeight="false" outlineLevel="0" collapsed="false">
      <c r="A139" s="0" t="s">
        <v>1318</v>
      </c>
      <c r="B139" s="0" t="s">
        <v>13</v>
      </c>
      <c r="C139" s="0" t="str">
        <f aca="false">"185-196"</f>
        <v>185-196</v>
      </c>
      <c r="D139" s="0" t="s">
        <v>13</v>
      </c>
      <c r="E139" s="0" t="str">
        <f aca="false">"325-336"</f>
        <v>325-336</v>
      </c>
      <c r="F139" s="0" t="s">
        <v>1456</v>
      </c>
      <c r="G139" s="0" t="s">
        <v>120</v>
      </c>
      <c r="H139" s="0" t="str">
        <f aca="false">"133-144"</f>
        <v>133-144</v>
      </c>
      <c r="I139" s="0" t="s">
        <v>120</v>
      </c>
      <c r="J139" s="0" t="str">
        <f aca="false">"150-161"</f>
        <v>150-161</v>
      </c>
      <c r="K139" s="0" t="str">
        <f aca="false">"0.98"</f>
        <v>0.98</v>
      </c>
      <c r="L139" s="0" t="str">
        <f aca="false">"11.09"</f>
        <v>11.09</v>
      </c>
      <c r="M139" s="0" t="str">
        <f aca="false">"154.5"</f>
        <v>154.5</v>
      </c>
    </row>
    <row r="140" customFormat="false" ht="14.65" hidden="false" customHeight="false" outlineLevel="0" collapsed="false">
      <c r="A140" s="0" t="s">
        <v>1318</v>
      </c>
      <c r="B140" s="0" t="s">
        <v>13</v>
      </c>
      <c r="C140" s="0" t="str">
        <f aca="false">"188-199"</f>
        <v>188-199</v>
      </c>
      <c r="D140" s="0" t="s">
        <v>13</v>
      </c>
      <c r="E140" s="0" t="str">
        <f aca="false">"325-336"</f>
        <v>325-336</v>
      </c>
      <c r="F140" s="0" t="s">
        <v>1457</v>
      </c>
      <c r="G140" s="0" t="s">
        <v>9</v>
      </c>
      <c r="H140" s="0" t="str">
        <f aca="false">"86-97"</f>
        <v>86-97</v>
      </c>
      <c r="I140" s="0" t="s">
        <v>9</v>
      </c>
      <c r="J140" s="0" t="str">
        <f aca="false">"193-204"</f>
        <v>193-204</v>
      </c>
      <c r="K140" s="0" t="str">
        <f aca="false">"1.12"</f>
        <v>1.12</v>
      </c>
      <c r="L140" s="0" t="str">
        <f aca="false">"9.86"</f>
        <v>9.86</v>
      </c>
      <c r="M140" s="0" t="str">
        <f aca="false">"154.5"</f>
        <v>154.5</v>
      </c>
    </row>
    <row r="141" customFormat="false" ht="14.65" hidden="false" customHeight="false" outlineLevel="0" collapsed="false">
      <c r="A141" s="0" t="s">
        <v>1318</v>
      </c>
      <c r="B141" s="0" t="s">
        <v>13</v>
      </c>
      <c r="C141" s="0" t="str">
        <f aca="false">"185-196"</f>
        <v>185-196</v>
      </c>
      <c r="D141" s="0" t="s">
        <v>13</v>
      </c>
      <c r="E141" s="0" t="str">
        <f aca="false">"329-340"</f>
        <v>329-340</v>
      </c>
      <c r="F141" s="0" t="s">
        <v>1458</v>
      </c>
      <c r="G141" s="0" t="s">
        <v>13</v>
      </c>
      <c r="H141" s="0" t="str">
        <f aca="false">"299-310"</f>
        <v>299-310</v>
      </c>
      <c r="I141" s="0" t="s">
        <v>13</v>
      </c>
      <c r="J141" s="0" t="str">
        <f aca="false">"271-282"</f>
        <v>271-282</v>
      </c>
      <c r="K141" s="0" t="str">
        <f aca="false">"1.13"</f>
        <v>1.13</v>
      </c>
      <c r="L141" s="0" t="str">
        <f aca="false">"9.41"</f>
        <v>9.41</v>
      </c>
      <c r="M141" s="0" t="str">
        <f aca="false">"154.4"</f>
        <v>154.4</v>
      </c>
    </row>
    <row r="142" customFormat="false" ht="14.65" hidden="false" customHeight="false" outlineLevel="0" collapsed="false">
      <c r="A142" s="0" t="s">
        <v>1318</v>
      </c>
      <c r="B142" s="0" t="s">
        <v>13</v>
      </c>
      <c r="C142" s="0" t="str">
        <f aca="false">"183-194"</f>
        <v>183-194</v>
      </c>
      <c r="D142" s="0" t="s">
        <v>13</v>
      </c>
      <c r="E142" s="0" t="str">
        <f aca="false">"329-340"</f>
        <v>329-340</v>
      </c>
      <c r="F142" s="0" t="s">
        <v>1459</v>
      </c>
      <c r="G142" s="0" t="s">
        <v>9</v>
      </c>
      <c r="H142" s="0" t="str">
        <f aca="false">"379-390"</f>
        <v>379-390</v>
      </c>
      <c r="I142" s="0" t="s">
        <v>9</v>
      </c>
      <c r="J142" s="0" t="str">
        <f aca="false">"520-531"</f>
        <v>520-531</v>
      </c>
      <c r="K142" s="0" t="str">
        <f aca="false">"1.20"</f>
        <v>1.20</v>
      </c>
      <c r="L142" s="0" t="str">
        <f aca="false">"11.95"</f>
        <v>11.95</v>
      </c>
      <c r="M142" s="0" t="str">
        <f aca="false">"153.9"</f>
        <v>153.9</v>
      </c>
    </row>
    <row r="143" customFormat="false" ht="14.65" hidden="false" customHeight="false" outlineLevel="0" collapsed="false">
      <c r="A143" s="0" t="s">
        <v>1318</v>
      </c>
      <c r="B143" s="0" t="s">
        <v>13</v>
      </c>
      <c r="C143" s="0" t="str">
        <f aca="false">"183-194"</f>
        <v>183-194</v>
      </c>
      <c r="D143" s="0" t="s">
        <v>13</v>
      </c>
      <c r="E143" s="0" t="str">
        <f aca="false">"329-340"</f>
        <v>329-340</v>
      </c>
      <c r="F143" s="0" t="s">
        <v>1460</v>
      </c>
      <c r="G143" s="0" t="s">
        <v>9</v>
      </c>
      <c r="H143" s="0" t="str">
        <f aca="false">"196-207"</f>
        <v>196-207</v>
      </c>
      <c r="I143" s="0" t="s">
        <v>9</v>
      </c>
      <c r="J143" s="0" t="str">
        <f aca="false">"118-129"</f>
        <v>118-129</v>
      </c>
      <c r="K143" s="0" t="str">
        <f aca="false">"1.12"</f>
        <v>1.12</v>
      </c>
      <c r="L143" s="0" t="str">
        <f aca="false">"11.17"</f>
        <v>11.17</v>
      </c>
      <c r="M143" s="0" t="str">
        <f aca="false">"153.8"</f>
        <v>153.8</v>
      </c>
    </row>
    <row r="144" customFormat="false" ht="14.65" hidden="false" customHeight="false" outlineLevel="0" collapsed="false">
      <c r="A144" s="0" t="s">
        <v>1318</v>
      </c>
      <c r="B144" s="0" t="s">
        <v>13</v>
      </c>
      <c r="C144" s="0" t="str">
        <f aca="false">"185-196"</f>
        <v>185-196</v>
      </c>
      <c r="D144" s="0" t="s">
        <v>13</v>
      </c>
      <c r="E144" s="0" t="str">
        <f aca="false">"325-336"</f>
        <v>325-336</v>
      </c>
      <c r="F144" s="0" t="s">
        <v>1461</v>
      </c>
      <c r="G144" s="0" t="s">
        <v>9</v>
      </c>
      <c r="H144" s="0" t="str">
        <f aca="false">"301-312"</f>
        <v>301-312</v>
      </c>
      <c r="I144" s="0" t="s">
        <v>9</v>
      </c>
      <c r="J144" s="0" t="str">
        <f aca="false">"331-342"</f>
        <v>331-342</v>
      </c>
      <c r="K144" s="0" t="str">
        <f aca="false">"1.23"</f>
        <v>1.23</v>
      </c>
      <c r="L144" s="0" t="str">
        <f aca="false">"11.38"</f>
        <v>11.38</v>
      </c>
      <c r="M144" s="0" t="str">
        <f aca="false">"153.8"</f>
        <v>153.8</v>
      </c>
    </row>
    <row r="145" customFormat="false" ht="14.65" hidden="false" customHeight="false" outlineLevel="0" collapsed="false">
      <c r="A145" s="0" t="s">
        <v>1318</v>
      </c>
      <c r="B145" s="0" t="s">
        <v>13</v>
      </c>
      <c r="C145" s="0" t="str">
        <f aca="false">"185-196"</f>
        <v>185-196</v>
      </c>
      <c r="D145" s="0" t="s">
        <v>13</v>
      </c>
      <c r="E145" s="0" t="str">
        <f aca="false">"325-336"</f>
        <v>325-336</v>
      </c>
      <c r="F145" s="0" t="s">
        <v>1462</v>
      </c>
      <c r="G145" s="0" t="s">
        <v>24</v>
      </c>
      <c r="H145" s="0" t="str">
        <f aca="false">"210-221"</f>
        <v>210-221</v>
      </c>
      <c r="I145" s="0" t="s">
        <v>9</v>
      </c>
      <c r="J145" s="0" t="str">
        <f aca="false">"210-221"</f>
        <v>210-221</v>
      </c>
      <c r="K145" s="0" t="str">
        <f aca="false">"1.01"</f>
        <v>1.01</v>
      </c>
      <c r="L145" s="0" t="str">
        <f aca="false">"12.12"</f>
        <v>12.12</v>
      </c>
      <c r="M145" s="0" t="str">
        <f aca="false">"153.8"</f>
        <v>153.8</v>
      </c>
    </row>
    <row r="146" customFormat="false" ht="14.65" hidden="false" customHeight="false" outlineLevel="0" collapsed="false">
      <c r="A146" s="0" t="s">
        <v>1318</v>
      </c>
      <c r="B146" s="0" t="s">
        <v>13</v>
      </c>
      <c r="C146" s="0" t="str">
        <f aca="false">"180-191"</f>
        <v>180-191</v>
      </c>
      <c r="D146" s="0" t="s">
        <v>13</v>
      </c>
      <c r="E146" s="0" t="str">
        <f aca="false">"329-340"</f>
        <v>329-340</v>
      </c>
      <c r="F146" s="0" t="s">
        <v>1463</v>
      </c>
      <c r="G146" s="0" t="s">
        <v>13</v>
      </c>
      <c r="H146" s="0" t="str">
        <f aca="false">"92-103"</f>
        <v>92-103</v>
      </c>
      <c r="I146" s="0" t="s">
        <v>1464</v>
      </c>
      <c r="J146" s="0" t="str">
        <f aca="false">"54-65"</f>
        <v>54-65</v>
      </c>
      <c r="K146" s="0" t="str">
        <f aca="false">"0.78"</f>
        <v>0.78</v>
      </c>
      <c r="L146" s="0" t="str">
        <f aca="false">"10.63"</f>
        <v>10.63</v>
      </c>
      <c r="M146" s="0" t="str">
        <f aca="false">"153.7"</f>
        <v>153.7</v>
      </c>
    </row>
    <row r="147" customFormat="false" ht="14.65" hidden="false" customHeight="false" outlineLevel="0" collapsed="false">
      <c r="A147" s="0" t="s">
        <v>1318</v>
      </c>
      <c r="B147" s="0" t="s">
        <v>13</v>
      </c>
      <c r="C147" s="0" t="str">
        <f aca="false">"181-192"</f>
        <v>181-192</v>
      </c>
      <c r="D147" s="0" t="s">
        <v>13</v>
      </c>
      <c r="E147" s="0" t="str">
        <f aca="false">"325-336"</f>
        <v>325-336</v>
      </c>
      <c r="F147" s="0" t="s">
        <v>1465</v>
      </c>
      <c r="G147" s="0" t="s">
        <v>9</v>
      </c>
      <c r="H147" s="0" t="str">
        <f aca="false">"231-242"</f>
        <v>231-242</v>
      </c>
      <c r="I147" s="0" t="s">
        <v>9</v>
      </c>
      <c r="J147" s="0" t="str">
        <f aca="false">"136-147"</f>
        <v>136-147</v>
      </c>
      <c r="K147" s="0" t="str">
        <f aca="false">"0.84"</f>
        <v>0.84</v>
      </c>
      <c r="L147" s="0" t="str">
        <f aca="false">"13.00"</f>
        <v>13.00</v>
      </c>
      <c r="M147" s="0" t="str">
        <f aca="false">"153.7"</f>
        <v>153.7</v>
      </c>
    </row>
    <row r="148" customFormat="false" ht="14.65" hidden="false" customHeight="false" outlineLevel="0" collapsed="false">
      <c r="A148" s="0" t="s">
        <v>1318</v>
      </c>
      <c r="B148" s="0" t="s">
        <v>13</v>
      </c>
      <c r="C148" s="0" t="str">
        <f aca="false">"188-199"</f>
        <v>188-199</v>
      </c>
      <c r="D148" s="0" t="s">
        <v>13</v>
      </c>
      <c r="E148" s="0" t="str">
        <f aca="false">"330-341"</f>
        <v>330-341</v>
      </c>
      <c r="F148" s="0" t="s">
        <v>1466</v>
      </c>
      <c r="G148" s="0" t="s">
        <v>9</v>
      </c>
      <c r="H148" s="0" t="str">
        <f aca="false">"256-267"</f>
        <v>256-267</v>
      </c>
      <c r="I148" s="0" t="s">
        <v>9</v>
      </c>
      <c r="J148" s="0" t="str">
        <f aca="false">"282-293"</f>
        <v>282-293</v>
      </c>
      <c r="K148" s="0" t="str">
        <f aca="false">"0.92"</f>
        <v>0.92</v>
      </c>
      <c r="L148" s="0" t="str">
        <f aca="false">"12.69"</f>
        <v>12.69</v>
      </c>
      <c r="M148" s="0" t="str">
        <f aca="false">"153.5"</f>
        <v>153.5</v>
      </c>
    </row>
    <row r="149" customFormat="false" ht="14.65" hidden="false" customHeight="false" outlineLevel="0" collapsed="false">
      <c r="A149" s="0" t="s">
        <v>1318</v>
      </c>
      <c r="B149" s="0" t="s">
        <v>13</v>
      </c>
      <c r="C149" s="0" t="str">
        <f aca="false">"185-196"</f>
        <v>185-196</v>
      </c>
      <c r="D149" s="0" t="s">
        <v>13</v>
      </c>
      <c r="E149" s="0" t="str">
        <f aca="false">"325-336"</f>
        <v>325-336</v>
      </c>
      <c r="F149" s="0" t="s">
        <v>1467</v>
      </c>
      <c r="G149" s="0" t="s">
        <v>13</v>
      </c>
      <c r="H149" s="0" t="str">
        <f aca="false">"41-52"</f>
        <v>41-52</v>
      </c>
      <c r="I149" s="0" t="s">
        <v>9</v>
      </c>
      <c r="J149" s="0" t="str">
        <f aca="false">"10-21"</f>
        <v>10-21</v>
      </c>
      <c r="K149" s="0" t="str">
        <f aca="false">"1.18"</f>
        <v>1.18</v>
      </c>
      <c r="L149" s="0" t="str">
        <f aca="false">"10.73"</f>
        <v>10.73</v>
      </c>
      <c r="M149" s="0" t="str">
        <f aca="false">"153.3"</f>
        <v>153.3</v>
      </c>
    </row>
    <row r="150" customFormat="false" ht="14.65" hidden="false" customHeight="false" outlineLevel="0" collapsed="false">
      <c r="A150" s="0" t="s">
        <v>1318</v>
      </c>
      <c r="B150" s="0" t="s">
        <v>13</v>
      </c>
      <c r="C150" s="0" t="str">
        <f aca="false">"188-199"</f>
        <v>188-199</v>
      </c>
      <c r="D150" s="0" t="s">
        <v>13</v>
      </c>
      <c r="E150" s="0" t="str">
        <f aca="false">"325-336"</f>
        <v>325-336</v>
      </c>
      <c r="F150" s="0" t="s">
        <v>1468</v>
      </c>
      <c r="G150" s="0" t="s">
        <v>120</v>
      </c>
      <c r="H150" s="0" t="str">
        <f aca="false">"119-130"</f>
        <v>119-130</v>
      </c>
      <c r="I150" s="0" t="s">
        <v>120</v>
      </c>
      <c r="J150" s="0" t="str">
        <f aca="false">"101-112"</f>
        <v>101-112</v>
      </c>
      <c r="K150" s="0" t="str">
        <f aca="false">"1.03"</f>
        <v>1.03</v>
      </c>
      <c r="L150" s="0" t="str">
        <f aca="false">"9.75"</f>
        <v>9.75</v>
      </c>
      <c r="M150" s="0" t="str">
        <f aca="false">"153.2"</f>
        <v>153.2</v>
      </c>
    </row>
    <row r="151" customFormat="false" ht="14.65" hidden="false" customHeight="false" outlineLevel="0" collapsed="false">
      <c r="A151" s="0" t="s">
        <v>1318</v>
      </c>
      <c r="B151" s="0" t="s">
        <v>13</v>
      </c>
      <c r="C151" s="0" t="str">
        <f aca="false">"185-196"</f>
        <v>185-196</v>
      </c>
      <c r="D151" s="0" t="s">
        <v>13</v>
      </c>
      <c r="E151" s="0" t="str">
        <f aca="false">"328-339"</f>
        <v>328-339</v>
      </c>
      <c r="F151" s="0" t="s">
        <v>1469</v>
      </c>
      <c r="G151" s="0" t="s">
        <v>9</v>
      </c>
      <c r="H151" s="0" t="str">
        <f aca="false">"79-90"</f>
        <v>79-90</v>
      </c>
      <c r="I151" s="0" t="s">
        <v>9</v>
      </c>
      <c r="J151" s="0" t="str">
        <f aca="false">"105-116"</f>
        <v>105-116</v>
      </c>
      <c r="K151" s="0" t="str">
        <f aca="false">"0.88"</f>
        <v>0.88</v>
      </c>
      <c r="L151" s="0" t="str">
        <f aca="false">"9.49"</f>
        <v>9.49</v>
      </c>
      <c r="M151" s="0" t="str">
        <f aca="false">"152.8"</f>
        <v>152.8</v>
      </c>
    </row>
    <row r="152" customFormat="false" ht="14.65" hidden="false" customHeight="false" outlineLevel="0" collapsed="false">
      <c r="A152" s="0" t="s">
        <v>1318</v>
      </c>
      <c r="B152" s="0" t="s">
        <v>13</v>
      </c>
      <c r="C152" s="0" t="str">
        <f aca="false">"188-199"</f>
        <v>188-199</v>
      </c>
      <c r="D152" s="0" t="s">
        <v>13</v>
      </c>
      <c r="E152" s="0" t="str">
        <f aca="false">"324-335"</f>
        <v>324-335</v>
      </c>
      <c r="F152" s="0" t="s">
        <v>1470</v>
      </c>
      <c r="G152" s="0" t="s">
        <v>13</v>
      </c>
      <c r="H152" s="0" t="str">
        <f aca="false">"70-81"</f>
        <v>70-81</v>
      </c>
      <c r="I152" s="0" t="s">
        <v>9</v>
      </c>
      <c r="J152" s="0" t="str">
        <f aca="false">"70-81"</f>
        <v>70-81</v>
      </c>
      <c r="K152" s="0" t="str">
        <f aca="false">"1.12"</f>
        <v>1.12</v>
      </c>
      <c r="L152" s="0" t="str">
        <f aca="false">"8.28"</f>
        <v>8.28</v>
      </c>
      <c r="M152" s="0" t="str">
        <f aca="false">"152.4"</f>
        <v>152.4</v>
      </c>
    </row>
    <row r="153" customFormat="false" ht="14.65" hidden="false" customHeight="false" outlineLevel="0" collapsed="false">
      <c r="A153" s="0" t="s">
        <v>1318</v>
      </c>
      <c r="B153" s="0" t="s">
        <v>13</v>
      </c>
      <c r="C153" s="0" t="str">
        <f aca="false">"187-198"</f>
        <v>187-198</v>
      </c>
      <c r="D153" s="0" t="s">
        <v>13</v>
      </c>
      <c r="E153" s="0" t="str">
        <f aca="false">"325-336"</f>
        <v>325-336</v>
      </c>
      <c r="F153" s="0" t="s">
        <v>1471</v>
      </c>
      <c r="G153" s="0" t="s">
        <v>13</v>
      </c>
      <c r="H153" s="0" t="str">
        <f aca="false">"51-62"</f>
        <v>51-62</v>
      </c>
      <c r="I153" s="0" t="s">
        <v>9</v>
      </c>
      <c r="J153" s="0" t="str">
        <f aca="false">"34-45"</f>
        <v>34-45</v>
      </c>
      <c r="K153" s="0" t="str">
        <f aca="false">"0.84"</f>
        <v>0.84</v>
      </c>
      <c r="L153" s="0" t="str">
        <f aca="false">"11.10"</f>
        <v>11.10</v>
      </c>
      <c r="M153" s="0" t="str">
        <f aca="false">"152.1"</f>
        <v>152.1</v>
      </c>
    </row>
    <row r="154" customFormat="false" ht="14.65" hidden="false" customHeight="false" outlineLevel="0" collapsed="false">
      <c r="A154" s="0" t="s">
        <v>1318</v>
      </c>
      <c r="B154" s="0" t="s">
        <v>13</v>
      </c>
      <c r="C154" s="0" t="str">
        <f aca="false">"189-200"</f>
        <v>189-200</v>
      </c>
      <c r="D154" s="0" t="s">
        <v>13</v>
      </c>
      <c r="E154" s="0" t="str">
        <f aca="false">"322-333"</f>
        <v>322-333</v>
      </c>
      <c r="F154" s="0" t="s">
        <v>1472</v>
      </c>
      <c r="G154" s="0" t="s">
        <v>24</v>
      </c>
      <c r="H154" s="0" t="str">
        <f aca="false">"251-262"</f>
        <v>251-262</v>
      </c>
      <c r="I154" s="0" t="s">
        <v>70</v>
      </c>
      <c r="J154" s="0" t="str">
        <f aca="false">"150-161"</f>
        <v>150-161</v>
      </c>
      <c r="K154" s="0" t="str">
        <f aca="false">"1.17"</f>
        <v>1.17</v>
      </c>
      <c r="L154" s="0" t="str">
        <f aca="false">"11.07"</f>
        <v>11.07</v>
      </c>
      <c r="M154" s="0" t="str">
        <f aca="false">"151.5"</f>
        <v>151.5</v>
      </c>
    </row>
    <row r="155" customFormat="false" ht="14.65" hidden="false" customHeight="false" outlineLevel="0" collapsed="false">
      <c r="A155" s="0" t="s">
        <v>1318</v>
      </c>
      <c r="B155" s="0" t="s">
        <v>13</v>
      </c>
      <c r="C155" s="0" t="str">
        <f aca="false">"188-199"</f>
        <v>188-199</v>
      </c>
      <c r="D155" s="0" t="s">
        <v>13</v>
      </c>
      <c r="E155" s="0" t="str">
        <f aca="false">"325-336"</f>
        <v>325-336</v>
      </c>
      <c r="F155" s="0" t="s">
        <v>1473</v>
      </c>
      <c r="G155" s="0" t="s">
        <v>9</v>
      </c>
      <c r="H155" s="0" t="str">
        <f aca="false">"275-286"</f>
        <v>275-286</v>
      </c>
      <c r="I155" s="0" t="s">
        <v>24</v>
      </c>
      <c r="J155" s="0" t="str">
        <f aca="false">"272-283"</f>
        <v>272-283</v>
      </c>
      <c r="K155" s="0" t="str">
        <f aca="false">"0.77"</f>
        <v>0.77</v>
      </c>
      <c r="L155" s="0" t="str">
        <f aca="false">"9.42"</f>
        <v>9.42</v>
      </c>
      <c r="M155" s="0" t="str">
        <f aca="false">"151.5"</f>
        <v>151.5</v>
      </c>
    </row>
    <row r="156" customFormat="false" ht="14.65" hidden="false" customHeight="false" outlineLevel="0" collapsed="false">
      <c r="A156" s="0" t="s">
        <v>1318</v>
      </c>
      <c r="B156" s="0" t="s">
        <v>13</v>
      </c>
      <c r="C156" s="0" t="str">
        <f aca="false">"182-193"</f>
        <v>182-193</v>
      </c>
      <c r="D156" s="0" t="s">
        <v>13</v>
      </c>
      <c r="E156" s="0" t="str">
        <f aca="false">"329-340"</f>
        <v>329-340</v>
      </c>
      <c r="F156" s="0" t="s">
        <v>1474</v>
      </c>
      <c r="G156" s="0" t="s">
        <v>9</v>
      </c>
      <c r="H156" s="0" t="str">
        <f aca="false">"69-80"</f>
        <v>69-80</v>
      </c>
      <c r="I156" s="0" t="s">
        <v>13</v>
      </c>
      <c r="J156" s="0" t="str">
        <f aca="false">"69-80"</f>
        <v>69-80</v>
      </c>
      <c r="K156" s="0" t="str">
        <f aca="false">"1.18"</f>
        <v>1.18</v>
      </c>
      <c r="L156" s="0" t="str">
        <f aca="false">"11.39"</f>
        <v>11.39</v>
      </c>
      <c r="M156" s="0" t="str">
        <f aca="false">"151.4"</f>
        <v>151.4</v>
      </c>
    </row>
    <row r="157" customFormat="false" ht="14.65" hidden="false" customHeight="false" outlineLevel="0" collapsed="false">
      <c r="A157" s="0" t="s">
        <v>1318</v>
      </c>
      <c r="B157" s="0" t="s">
        <v>13</v>
      </c>
      <c r="C157" s="0" t="str">
        <f aca="false">"185-196"</f>
        <v>185-196</v>
      </c>
      <c r="D157" s="0" t="s">
        <v>13</v>
      </c>
      <c r="E157" s="0" t="str">
        <f aca="false">"325-336"</f>
        <v>325-336</v>
      </c>
      <c r="F157" s="0" t="s">
        <v>1475</v>
      </c>
      <c r="G157" s="0" t="s">
        <v>24</v>
      </c>
      <c r="H157" s="0" t="str">
        <f aca="false">"336-347"</f>
        <v>336-347</v>
      </c>
      <c r="I157" s="0" t="s">
        <v>9</v>
      </c>
      <c r="J157" s="0" t="str">
        <f aca="false">"332-343"</f>
        <v>332-343</v>
      </c>
      <c r="K157" s="0" t="str">
        <f aca="false">"1.19"</f>
        <v>1.19</v>
      </c>
      <c r="L157" s="0" t="str">
        <f aca="false">"11.19"</f>
        <v>11.19</v>
      </c>
      <c r="M157" s="0" t="str">
        <f aca="false">"151.2"</f>
        <v>151.2</v>
      </c>
    </row>
    <row r="158" customFormat="false" ht="14.65" hidden="false" customHeight="false" outlineLevel="0" collapsed="false">
      <c r="A158" s="0" t="s">
        <v>1318</v>
      </c>
      <c r="B158" s="0" t="s">
        <v>13</v>
      </c>
      <c r="C158" s="0" t="str">
        <f aca="false">"182-193"</f>
        <v>182-193</v>
      </c>
      <c r="D158" s="0" t="s">
        <v>13</v>
      </c>
      <c r="E158" s="0" t="str">
        <f aca="false">"329-340"</f>
        <v>329-340</v>
      </c>
      <c r="F158" s="0" t="s">
        <v>1476</v>
      </c>
      <c r="G158" s="0" t="s">
        <v>9</v>
      </c>
      <c r="H158" s="0" t="str">
        <f aca="false">"122-133"</f>
        <v>122-133</v>
      </c>
      <c r="I158" s="0" t="s">
        <v>9</v>
      </c>
      <c r="J158" s="0" t="str">
        <f aca="false">"100-111"</f>
        <v>100-111</v>
      </c>
      <c r="K158" s="0" t="str">
        <f aca="false">"0.77"</f>
        <v>0.77</v>
      </c>
      <c r="L158" s="0" t="str">
        <f aca="false">"10.50"</f>
        <v>10.50</v>
      </c>
      <c r="M158" s="0" t="str">
        <f aca="false">"151.1"</f>
        <v>151.1</v>
      </c>
    </row>
    <row r="159" customFormat="false" ht="14.65" hidden="false" customHeight="false" outlineLevel="0" collapsed="false">
      <c r="A159" s="0" t="s">
        <v>1318</v>
      </c>
      <c r="B159" s="0" t="s">
        <v>13</v>
      </c>
      <c r="C159" s="0" t="str">
        <f aca="false">"188-199"</f>
        <v>188-199</v>
      </c>
      <c r="D159" s="0" t="s">
        <v>13</v>
      </c>
      <c r="E159" s="0" t="str">
        <f aca="false">"325-336"</f>
        <v>325-336</v>
      </c>
      <c r="F159" s="0" t="s">
        <v>1477</v>
      </c>
      <c r="G159" s="0" t="s">
        <v>9</v>
      </c>
      <c r="H159" s="0" t="str">
        <f aca="false">"211-222"</f>
        <v>211-222</v>
      </c>
      <c r="I159" s="0" t="s">
        <v>13</v>
      </c>
      <c r="J159" s="0" t="str">
        <f aca="false">"212-223"</f>
        <v>212-223</v>
      </c>
      <c r="K159" s="0" t="str">
        <f aca="false">"1.10"</f>
        <v>1.10</v>
      </c>
      <c r="L159" s="0" t="str">
        <f aca="false">"8.65"</f>
        <v>8.65</v>
      </c>
      <c r="M159" s="0" t="str">
        <f aca="false">"151.0"</f>
        <v>151.0</v>
      </c>
    </row>
    <row r="160" customFormat="false" ht="14.65" hidden="false" customHeight="false" outlineLevel="0" collapsed="false">
      <c r="A160" s="0" t="s">
        <v>1318</v>
      </c>
      <c r="B160" s="0" t="s">
        <v>13</v>
      </c>
      <c r="C160" s="0" t="str">
        <f aca="false">"182-193"</f>
        <v>182-193</v>
      </c>
      <c r="D160" s="0" t="s">
        <v>13</v>
      </c>
      <c r="E160" s="0" t="str">
        <f aca="false">"329-340"</f>
        <v>329-340</v>
      </c>
      <c r="F160" s="0" t="s">
        <v>1478</v>
      </c>
      <c r="G160" s="0" t="s">
        <v>9</v>
      </c>
      <c r="H160" s="0" t="str">
        <f aca="false">"28-39"</f>
        <v>28-39</v>
      </c>
      <c r="I160" s="0" t="s">
        <v>9</v>
      </c>
      <c r="J160" s="0" t="str">
        <f aca="false">"45-56"</f>
        <v>45-56</v>
      </c>
      <c r="K160" s="0" t="str">
        <f aca="false">"0.77"</f>
        <v>0.77</v>
      </c>
      <c r="L160" s="0" t="str">
        <f aca="false">"9.85"</f>
        <v>9.85</v>
      </c>
      <c r="M160" s="0" t="str">
        <f aca="false">"150.5"</f>
        <v>150.5</v>
      </c>
    </row>
    <row r="161" customFormat="false" ht="14.65" hidden="false" customHeight="false" outlineLevel="0" collapsed="false">
      <c r="A161" s="0" t="s">
        <v>1318</v>
      </c>
      <c r="B161" s="0" t="s">
        <v>13</v>
      </c>
      <c r="C161" s="0" t="str">
        <f aca="false">"189-200"</f>
        <v>189-200</v>
      </c>
      <c r="D161" s="0" t="s">
        <v>13</v>
      </c>
      <c r="E161" s="0" t="str">
        <f aca="false">"322-333"</f>
        <v>322-333</v>
      </c>
      <c r="F161" s="0" t="s">
        <v>1479</v>
      </c>
      <c r="G161" s="0" t="s">
        <v>1480</v>
      </c>
      <c r="H161" s="0" t="str">
        <f aca="false">"441-452"</f>
        <v>441-452</v>
      </c>
      <c r="I161" s="0" t="s">
        <v>1480</v>
      </c>
      <c r="J161" s="0" t="str">
        <f aca="false">"90-101"</f>
        <v>90-101</v>
      </c>
      <c r="K161" s="0" t="str">
        <f aca="false">"1.03"</f>
        <v>1.03</v>
      </c>
      <c r="L161" s="0" t="str">
        <f aca="false">"10.16"</f>
        <v>10.16</v>
      </c>
      <c r="M161" s="0" t="str">
        <f aca="false">"150.4"</f>
        <v>150.4</v>
      </c>
    </row>
    <row r="162" customFormat="false" ht="14.65" hidden="false" customHeight="false" outlineLevel="0" collapsed="false">
      <c r="A162" s="0" t="s">
        <v>1318</v>
      </c>
      <c r="B162" s="0" t="s">
        <v>13</v>
      </c>
      <c r="C162" s="0" t="str">
        <f aca="false">"187-198"</f>
        <v>187-198</v>
      </c>
      <c r="D162" s="0" t="s">
        <v>13</v>
      </c>
      <c r="E162" s="0" t="str">
        <f aca="false">"327-338"</f>
        <v>327-338</v>
      </c>
      <c r="F162" s="0" t="s">
        <v>1481</v>
      </c>
      <c r="G162" s="0" t="s">
        <v>9</v>
      </c>
      <c r="H162" s="0" t="str">
        <f aca="false">"462-473"</f>
        <v>462-473</v>
      </c>
      <c r="I162" s="0" t="s">
        <v>9</v>
      </c>
      <c r="J162" s="0" t="str">
        <f aca="false">"325-336"</f>
        <v>325-336</v>
      </c>
      <c r="K162" s="0" t="str">
        <f aca="false">"0.91"</f>
        <v>0.91</v>
      </c>
      <c r="L162" s="0" t="str">
        <f aca="false">"10.97"</f>
        <v>10.97</v>
      </c>
      <c r="M162" s="0" t="str">
        <f aca="false">"150.2"</f>
        <v>150.2</v>
      </c>
    </row>
    <row r="163" customFormat="false" ht="14.65" hidden="false" customHeight="false" outlineLevel="0" collapsed="false">
      <c r="A163" s="0" t="s">
        <v>1318</v>
      </c>
      <c r="B163" s="0" t="s">
        <v>13</v>
      </c>
      <c r="C163" s="0" t="str">
        <f aca="false">"186-197"</f>
        <v>186-197</v>
      </c>
      <c r="D163" s="0" t="s">
        <v>13</v>
      </c>
      <c r="E163" s="0" t="str">
        <f aca="false">"324-335"</f>
        <v>324-335</v>
      </c>
      <c r="F163" s="0" t="s">
        <v>1482</v>
      </c>
      <c r="G163" s="0" t="s">
        <v>9</v>
      </c>
      <c r="H163" s="0" t="str">
        <f aca="false">"66-77"</f>
        <v>66-77</v>
      </c>
      <c r="I163" s="0" t="s">
        <v>9</v>
      </c>
      <c r="J163" s="0" t="str">
        <f aca="false">"46-57"</f>
        <v>46-57</v>
      </c>
      <c r="K163" s="0" t="str">
        <f aca="false">"1.19"</f>
        <v>1.19</v>
      </c>
      <c r="L163" s="0" t="str">
        <f aca="false">"11.91"</f>
        <v>11.91</v>
      </c>
      <c r="M163" s="0" t="str">
        <f aca="false">"150.2"</f>
        <v>150.2</v>
      </c>
    </row>
    <row r="164" customFormat="false" ht="14.65" hidden="false" customHeight="false" outlineLevel="0" collapsed="false">
      <c r="A164" s="0" t="s">
        <v>1318</v>
      </c>
      <c r="B164" s="0" t="s">
        <v>13</v>
      </c>
      <c r="C164" s="0" t="str">
        <f aca="false">"189-200"</f>
        <v>189-200</v>
      </c>
      <c r="D164" s="0" t="s">
        <v>13</v>
      </c>
      <c r="E164" s="0" t="str">
        <f aca="false">"322-333"</f>
        <v>322-333</v>
      </c>
      <c r="F164" s="0" t="s">
        <v>1483</v>
      </c>
      <c r="G164" s="0" t="s">
        <v>1484</v>
      </c>
      <c r="H164" s="0" t="str">
        <f aca="false">"441-452"</f>
        <v>441-452</v>
      </c>
      <c r="I164" s="0" t="s">
        <v>1484</v>
      </c>
      <c r="J164" s="0" t="str">
        <f aca="false">"90-101"</f>
        <v>90-101</v>
      </c>
      <c r="K164" s="0" t="str">
        <f aca="false">"1.03"</f>
        <v>1.03</v>
      </c>
      <c r="L164" s="0" t="str">
        <f aca="false">"10.14"</f>
        <v>10.14</v>
      </c>
      <c r="M164" s="0" t="str">
        <f aca="false">"149.9"</f>
        <v>149.9</v>
      </c>
    </row>
    <row r="165" customFormat="false" ht="14.65" hidden="false" customHeight="false" outlineLevel="0" collapsed="false">
      <c r="A165" s="0" t="s">
        <v>1318</v>
      </c>
      <c r="B165" s="0" t="s">
        <v>13</v>
      </c>
      <c r="C165" s="0" t="str">
        <f aca="false">"181-192"</f>
        <v>181-192</v>
      </c>
      <c r="D165" s="0" t="s">
        <v>13</v>
      </c>
      <c r="E165" s="0" t="str">
        <f aca="false">"325-336"</f>
        <v>325-336</v>
      </c>
      <c r="F165" s="0" t="s">
        <v>1485</v>
      </c>
      <c r="G165" s="0" t="s">
        <v>9</v>
      </c>
      <c r="H165" s="0" t="str">
        <f aca="false">"261-272"</f>
        <v>261-272</v>
      </c>
      <c r="I165" s="0" t="s">
        <v>9</v>
      </c>
      <c r="J165" s="0" t="str">
        <f aca="false">"222-233"</f>
        <v>222-233</v>
      </c>
      <c r="K165" s="0" t="str">
        <f aca="false">"0.85"</f>
        <v>0.85</v>
      </c>
      <c r="L165" s="0" t="str">
        <f aca="false">"13.35"</f>
        <v>13.35</v>
      </c>
      <c r="M165" s="0" t="str">
        <f aca="false">"149.9"</f>
        <v>149.9</v>
      </c>
    </row>
    <row r="166" customFormat="false" ht="14.65" hidden="false" customHeight="false" outlineLevel="0" collapsed="false">
      <c r="A166" s="0" t="s">
        <v>1318</v>
      </c>
      <c r="B166" s="0" t="s">
        <v>13</v>
      </c>
      <c r="C166" s="0" t="str">
        <f aca="false">"184-195"</f>
        <v>184-195</v>
      </c>
      <c r="D166" s="0" t="s">
        <v>13</v>
      </c>
      <c r="E166" s="0" t="str">
        <f aca="false">"329-340"</f>
        <v>329-340</v>
      </c>
      <c r="F166" s="0" t="s">
        <v>1486</v>
      </c>
      <c r="G166" s="0" t="s">
        <v>9</v>
      </c>
      <c r="H166" s="0" t="str">
        <f aca="false">"81-92"</f>
        <v>81-92</v>
      </c>
      <c r="I166" s="0" t="s">
        <v>9</v>
      </c>
      <c r="J166" s="0" t="str">
        <f aca="false">"96-107"</f>
        <v>96-107</v>
      </c>
      <c r="K166" s="0" t="str">
        <f aca="false">"1.16"</f>
        <v>1.16</v>
      </c>
      <c r="L166" s="0" t="str">
        <f aca="false">"9.75"</f>
        <v>9.75</v>
      </c>
      <c r="M166" s="0" t="str">
        <f aca="false">"149.8"</f>
        <v>149.8</v>
      </c>
    </row>
    <row r="167" customFormat="false" ht="14.65" hidden="false" customHeight="false" outlineLevel="0" collapsed="false">
      <c r="A167" s="0" t="s">
        <v>1318</v>
      </c>
      <c r="B167" s="0" t="s">
        <v>13</v>
      </c>
      <c r="C167" s="0" t="str">
        <f aca="false">"181-192"</f>
        <v>181-192</v>
      </c>
      <c r="D167" s="0" t="s">
        <v>13</v>
      </c>
      <c r="E167" s="0" t="str">
        <f aca="false">"329-340"</f>
        <v>329-340</v>
      </c>
      <c r="F167" s="0" t="s">
        <v>1487</v>
      </c>
      <c r="G167" s="0" t="s">
        <v>13</v>
      </c>
      <c r="H167" s="0" t="str">
        <f aca="false">"182-193"</f>
        <v>182-193</v>
      </c>
      <c r="I167" s="0" t="s">
        <v>13</v>
      </c>
      <c r="J167" s="0" t="str">
        <f aca="false">"219-230"</f>
        <v>219-230</v>
      </c>
      <c r="K167" s="0" t="str">
        <f aca="false">"1.01"</f>
        <v>1.01</v>
      </c>
      <c r="L167" s="0" t="str">
        <f aca="false">"11.45"</f>
        <v>11.45</v>
      </c>
      <c r="M167" s="0" t="str">
        <f aca="false">"149.7"</f>
        <v>149.7</v>
      </c>
    </row>
    <row r="168" customFormat="false" ht="14.65" hidden="false" customHeight="false" outlineLevel="0" collapsed="false">
      <c r="A168" s="0" t="s">
        <v>1318</v>
      </c>
      <c r="B168" s="0" t="s">
        <v>13</v>
      </c>
      <c r="C168" s="0" t="str">
        <f aca="false">"184-195"</f>
        <v>184-195</v>
      </c>
      <c r="D168" s="0" t="s">
        <v>13</v>
      </c>
      <c r="E168" s="0" t="str">
        <f aca="false">"328-339"</f>
        <v>328-339</v>
      </c>
      <c r="F168" s="0" t="s">
        <v>1488</v>
      </c>
      <c r="G168" s="0" t="s">
        <v>70</v>
      </c>
      <c r="H168" s="0" t="str">
        <f aca="false">"8-19"</f>
        <v>8-19</v>
      </c>
      <c r="I168" s="0" t="s">
        <v>70</v>
      </c>
      <c r="J168" s="0" t="str">
        <f aca="false">"128-139"</f>
        <v>128-139</v>
      </c>
      <c r="K168" s="0" t="str">
        <f aca="false">"1.10"</f>
        <v>1.10</v>
      </c>
      <c r="L168" s="0" t="str">
        <f aca="false">"10.06"</f>
        <v>10.06</v>
      </c>
      <c r="M168" s="0" t="str">
        <f aca="false">"149.5"</f>
        <v>149.5</v>
      </c>
    </row>
    <row r="169" customFormat="false" ht="14.65" hidden="false" customHeight="false" outlineLevel="0" collapsed="false">
      <c r="A169" s="0" t="s">
        <v>1318</v>
      </c>
      <c r="B169" s="0" t="s">
        <v>13</v>
      </c>
      <c r="C169" s="0" t="str">
        <f aca="false">"179-190"</f>
        <v>179-190</v>
      </c>
      <c r="D169" s="0" t="s">
        <v>13</v>
      </c>
      <c r="E169" s="0" t="str">
        <f aca="false">"330-341"</f>
        <v>330-341</v>
      </c>
      <c r="F169" s="0" t="s">
        <v>1489</v>
      </c>
      <c r="G169" s="0" t="s">
        <v>13</v>
      </c>
      <c r="H169" s="0" t="str">
        <f aca="false">"412-423"</f>
        <v>412-423</v>
      </c>
      <c r="I169" s="0" t="s">
        <v>13</v>
      </c>
      <c r="J169" s="0" t="str">
        <f aca="false">"127-138"</f>
        <v>127-138</v>
      </c>
      <c r="K169" s="0" t="str">
        <f aca="false">"1.22"</f>
        <v>1.22</v>
      </c>
      <c r="L169" s="0" t="str">
        <f aca="false">"12.80"</f>
        <v>12.80</v>
      </c>
      <c r="M169" s="0" t="str">
        <f aca="false">"149.5"</f>
        <v>149.5</v>
      </c>
    </row>
    <row r="170" customFormat="false" ht="14.65" hidden="false" customHeight="false" outlineLevel="0" collapsed="false">
      <c r="A170" s="0" t="s">
        <v>1318</v>
      </c>
      <c r="B170" s="0" t="s">
        <v>13</v>
      </c>
      <c r="C170" s="0" t="str">
        <f aca="false">"184-195"</f>
        <v>184-195</v>
      </c>
      <c r="D170" s="0" t="s">
        <v>13</v>
      </c>
      <c r="E170" s="0" t="str">
        <f aca="false">"329-340"</f>
        <v>329-340</v>
      </c>
      <c r="F170" s="0" t="s">
        <v>1490</v>
      </c>
      <c r="G170" s="0" t="s">
        <v>9</v>
      </c>
      <c r="H170" s="0" t="str">
        <f aca="false">"688-699"</f>
        <v>688-699</v>
      </c>
      <c r="I170" s="0" t="s">
        <v>9</v>
      </c>
      <c r="J170" s="0" t="str">
        <f aca="false">"654-665"</f>
        <v>654-665</v>
      </c>
      <c r="K170" s="0" t="str">
        <f aca="false">"1.21"</f>
        <v>1.21</v>
      </c>
      <c r="L170" s="0" t="str">
        <f aca="false">"11.32"</f>
        <v>11.32</v>
      </c>
      <c r="M170" s="0" t="str">
        <f aca="false">"148.4"</f>
        <v>148.4</v>
      </c>
    </row>
    <row r="171" customFormat="false" ht="14.65" hidden="false" customHeight="false" outlineLevel="0" collapsed="false">
      <c r="A171" s="0" t="s">
        <v>1318</v>
      </c>
      <c r="B171" s="0" t="s">
        <v>13</v>
      </c>
      <c r="C171" s="0" t="str">
        <f aca="false">"186-197"</f>
        <v>186-197</v>
      </c>
      <c r="D171" s="0" t="s">
        <v>13</v>
      </c>
      <c r="E171" s="0" t="str">
        <f aca="false">"325-336"</f>
        <v>325-336</v>
      </c>
      <c r="F171" s="0" t="s">
        <v>1491</v>
      </c>
      <c r="G171" s="0" t="s">
        <v>9</v>
      </c>
      <c r="H171" s="0" t="str">
        <f aca="false">"404-415"</f>
        <v>404-415</v>
      </c>
      <c r="I171" s="0" t="s">
        <v>13</v>
      </c>
      <c r="J171" s="0" t="str">
        <f aca="false">"407-418"</f>
        <v>407-418</v>
      </c>
      <c r="K171" s="0" t="str">
        <f aca="false">"1.14"</f>
        <v>1.14</v>
      </c>
      <c r="L171" s="0" t="str">
        <f aca="false">"11.26"</f>
        <v>11.26</v>
      </c>
      <c r="M171" s="0" t="str">
        <f aca="false">"148.2"</f>
        <v>148.2</v>
      </c>
    </row>
    <row r="172" customFormat="false" ht="14.65" hidden="false" customHeight="false" outlineLevel="0" collapsed="false">
      <c r="A172" s="0" t="s">
        <v>1318</v>
      </c>
      <c r="B172" s="0" t="s">
        <v>13</v>
      </c>
      <c r="C172" s="0" t="str">
        <f aca="false">"186-197"</f>
        <v>186-197</v>
      </c>
      <c r="D172" s="0" t="s">
        <v>13</v>
      </c>
      <c r="E172" s="0" t="str">
        <f aca="false">"325-336"</f>
        <v>325-336</v>
      </c>
      <c r="F172" s="0" t="s">
        <v>1492</v>
      </c>
      <c r="G172" s="0" t="s">
        <v>9</v>
      </c>
      <c r="H172" s="0" t="str">
        <f aca="false">"82-93"</f>
        <v>82-93</v>
      </c>
      <c r="I172" s="0" t="s">
        <v>9</v>
      </c>
      <c r="J172" s="0" t="str">
        <f aca="false">"12-23"</f>
        <v>12-23</v>
      </c>
      <c r="K172" s="0" t="str">
        <f aca="false">"0.96"</f>
        <v>0.96</v>
      </c>
      <c r="L172" s="0" t="str">
        <f aca="false">"10.90"</f>
        <v>10.90</v>
      </c>
      <c r="M172" s="0" t="str">
        <f aca="false">"147.0"</f>
        <v>147.0</v>
      </c>
    </row>
    <row r="173" customFormat="false" ht="14.65" hidden="false" customHeight="false" outlineLevel="0" collapsed="false">
      <c r="A173" s="0" t="s">
        <v>1318</v>
      </c>
      <c r="B173" s="0" t="s">
        <v>13</v>
      </c>
      <c r="C173" s="0" t="str">
        <f aca="false">"185-196"</f>
        <v>185-196</v>
      </c>
      <c r="D173" s="0" t="s">
        <v>13</v>
      </c>
      <c r="E173" s="0" t="str">
        <f aca="false">"323-334"</f>
        <v>323-334</v>
      </c>
      <c r="F173" s="0" t="s">
        <v>1493</v>
      </c>
      <c r="G173" s="0" t="s">
        <v>9</v>
      </c>
      <c r="H173" s="0" t="str">
        <f aca="false">"274-285"</f>
        <v>274-285</v>
      </c>
      <c r="I173" s="0" t="s">
        <v>9</v>
      </c>
      <c r="J173" s="0" t="str">
        <f aca="false">"348-359"</f>
        <v>348-359</v>
      </c>
      <c r="K173" s="0" t="str">
        <f aca="false">"1.20"</f>
        <v>1.20</v>
      </c>
      <c r="L173" s="0" t="str">
        <f aca="false">"12.97"</f>
        <v>12.97</v>
      </c>
      <c r="M173" s="0" t="str">
        <f aca="false">"146.8"</f>
        <v>146.8</v>
      </c>
    </row>
    <row r="174" customFormat="false" ht="14.65" hidden="false" customHeight="false" outlineLevel="0" collapsed="false">
      <c r="A174" s="0" t="s">
        <v>1318</v>
      </c>
      <c r="B174" s="0" t="s">
        <v>13</v>
      </c>
      <c r="C174" s="0" t="str">
        <f aca="false">"185-196"</f>
        <v>185-196</v>
      </c>
      <c r="D174" s="0" t="s">
        <v>13</v>
      </c>
      <c r="E174" s="0" t="str">
        <f aca="false">"325-336"</f>
        <v>325-336</v>
      </c>
      <c r="F174" s="0" t="s">
        <v>1494</v>
      </c>
      <c r="G174" s="0" t="s">
        <v>13</v>
      </c>
      <c r="H174" s="0" t="str">
        <f aca="false">"85-96"</f>
        <v>85-96</v>
      </c>
      <c r="I174" s="0" t="s">
        <v>13</v>
      </c>
      <c r="J174" s="0" t="str">
        <f aca="false">"177-188"</f>
        <v>177-188</v>
      </c>
      <c r="K174" s="0" t="str">
        <f aca="false">"1.09"</f>
        <v>1.09</v>
      </c>
      <c r="L174" s="0" t="str">
        <f aca="false">"11.73"</f>
        <v>11.73</v>
      </c>
      <c r="M174" s="0" t="str">
        <f aca="false">"146.4"</f>
        <v>146.4</v>
      </c>
    </row>
    <row r="175" customFormat="false" ht="14.65" hidden="false" customHeight="false" outlineLevel="0" collapsed="false">
      <c r="A175" s="0" t="s">
        <v>1318</v>
      </c>
      <c r="B175" s="0" t="s">
        <v>13</v>
      </c>
      <c r="C175" s="0" t="str">
        <f aca="false">"185-196"</f>
        <v>185-196</v>
      </c>
      <c r="D175" s="0" t="s">
        <v>13</v>
      </c>
      <c r="E175" s="0" t="str">
        <f aca="false">"323-334"</f>
        <v>323-334</v>
      </c>
      <c r="F175" s="0" t="s">
        <v>1495</v>
      </c>
      <c r="G175" s="0" t="s">
        <v>9</v>
      </c>
      <c r="H175" s="0" t="str">
        <f aca="false">"594-605"</f>
        <v>594-605</v>
      </c>
      <c r="I175" s="0" t="s">
        <v>9</v>
      </c>
      <c r="J175" s="0" t="str">
        <f aca="false">"683-694"</f>
        <v>683-694</v>
      </c>
      <c r="K175" s="0" t="str">
        <f aca="false">"1.23"</f>
        <v>1.23</v>
      </c>
      <c r="L175" s="0" t="str">
        <f aca="false">"13.43"</f>
        <v>13.43</v>
      </c>
      <c r="M175" s="0" t="str">
        <f aca="false">"146.4"</f>
        <v>146.4</v>
      </c>
    </row>
    <row r="176" customFormat="false" ht="14.65" hidden="false" customHeight="false" outlineLevel="0" collapsed="false">
      <c r="A176" s="0" t="s">
        <v>1318</v>
      </c>
      <c r="B176" s="0" t="s">
        <v>13</v>
      </c>
      <c r="C176" s="0" t="str">
        <f aca="false">"182-193"</f>
        <v>182-193</v>
      </c>
      <c r="D176" s="0" t="s">
        <v>13</v>
      </c>
      <c r="E176" s="0" t="str">
        <f aca="false">"329-340"</f>
        <v>329-340</v>
      </c>
      <c r="F176" s="0" t="s">
        <v>1496</v>
      </c>
      <c r="G176" s="0" t="s">
        <v>9</v>
      </c>
      <c r="H176" s="0" t="str">
        <f aca="false">"162-173"</f>
        <v>162-173</v>
      </c>
      <c r="I176" s="0" t="s">
        <v>9</v>
      </c>
      <c r="J176" s="0" t="str">
        <f aca="false">"218-229"</f>
        <v>218-229</v>
      </c>
      <c r="K176" s="0" t="str">
        <f aca="false">"0.89"</f>
        <v>0.89</v>
      </c>
      <c r="L176" s="0" t="str">
        <f aca="false">"9.95"</f>
        <v>9.95</v>
      </c>
      <c r="M176" s="0" t="str">
        <f aca="false">"146.0"</f>
        <v>146.0</v>
      </c>
    </row>
    <row r="177" customFormat="false" ht="14.65" hidden="false" customHeight="false" outlineLevel="0" collapsed="false">
      <c r="A177" s="0" t="s">
        <v>1318</v>
      </c>
      <c r="B177" s="0" t="s">
        <v>13</v>
      </c>
      <c r="C177" s="0" t="str">
        <f aca="false">"189-200"</f>
        <v>189-200</v>
      </c>
      <c r="D177" s="0" t="s">
        <v>13</v>
      </c>
      <c r="E177" s="0" t="str">
        <f aca="false">"322-333"</f>
        <v>322-333</v>
      </c>
      <c r="F177" s="0" t="s">
        <v>15</v>
      </c>
      <c r="G177" s="0" t="s">
        <v>9</v>
      </c>
      <c r="H177" s="0" t="str">
        <f aca="false">"107-118"</f>
        <v>107-118</v>
      </c>
      <c r="I177" s="0" t="s">
        <v>9</v>
      </c>
      <c r="J177" s="0" t="str">
        <f aca="false">"134-145"</f>
        <v>134-145</v>
      </c>
      <c r="K177" s="0" t="str">
        <f aca="false">"1.24"</f>
        <v>1.24</v>
      </c>
      <c r="L177" s="0" t="str">
        <f aca="false">"11.35"</f>
        <v>11.35</v>
      </c>
      <c r="M177" s="0" t="str">
        <f aca="false">"-179.7"</f>
        <v>-179.7</v>
      </c>
    </row>
    <row r="178" customFormat="false" ht="14.65" hidden="false" customHeight="false" outlineLevel="0" collapsed="false">
      <c r="A178" s="0" t="s">
        <v>1318</v>
      </c>
      <c r="B178" s="0" t="s">
        <v>13</v>
      </c>
      <c r="C178" s="0" t="str">
        <f aca="false">"182-193"</f>
        <v>182-193</v>
      </c>
      <c r="D178" s="0" t="s">
        <v>13</v>
      </c>
      <c r="E178" s="0" t="str">
        <f aca="false">"329-340"</f>
        <v>329-340</v>
      </c>
      <c r="F178" s="0" t="s">
        <v>1497</v>
      </c>
      <c r="G178" s="0" t="s">
        <v>9</v>
      </c>
      <c r="H178" s="0" t="str">
        <f aca="false">"83-94"</f>
        <v>83-94</v>
      </c>
      <c r="I178" s="0" t="s">
        <v>13</v>
      </c>
      <c r="J178" s="0" t="str">
        <f aca="false">"90-101"</f>
        <v>90-101</v>
      </c>
      <c r="K178" s="0" t="str">
        <f aca="false">"0.96"</f>
        <v>0.96</v>
      </c>
      <c r="L178" s="0" t="str">
        <f aca="false">"11.20"</f>
        <v>11.20</v>
      </c>
      <c r="M178" s="0" t="str">
        <f aca="false">"-177.2"</f>
        <v>-177.2</v>
      </c>
    </row>
    <row r="179" customFormat="false" ht="14.65" hidden="false" customHeight="false" outlineLevel="0" collapsed="false">
      <c r="A179" s="0" t="s">
        <v>1318</v>
      </c>
      <c r="B179" s="0" t="s">
        <v>13</v>
      </c>
      <c r="C179" s="0" t="str">
        <f aca="false">"181-192"</f>
        <v>181-192</v>
      </c>
      <c r="D179" s="0" t="s">
        <v>13</v>
      </c>
      <c r="E179" s="0" t="str">
        <f aca="false">"327-338"</f>
        <v>327-338</v>
      </c>
      <c r="F179" s="0" t="s">
        <v>1498</v>
      </c>
      <c r="G179" s="0" t="s">
        <v>13</v>
      </c>
      <c r="H179" s="0" t="str">
        <f aca="false">"97-108"</f>
        <v>97-108</v>
      </c>
      <c r="I179" s="0" t="s">
        <v>13</v>
      </c>
      <c r="J179" s="0" t="str">
        <f aca="false">"77-88"</f>
        <v>77-88</v>
      </c>
      <c r="K179" s="0" t="str">
        <f aca="false">"1.10"</f>
        <v>1.10</v>
      </c>
      <c r="L179" s="0" t="str">
        <f aca="false">"12.37"</f>
        <v>12.37</v>
      </c>
      <c r="M179" s="0" t="str">
        <f aca="false">"-176.5"</f>
        <v>-176.5</v>
      </c>
    </row>
    <row r="180" customFormat="false" ht="14.65" hidden="false" customHeight="false" outlineLevel="0" collapsed="false">
      <c r="A180" s="0" t="s">
        <v>1318</v>
      </c>
      <c r="B180" s="0" t="s">
        <v>13</v>
      </c>
      <c r="C180" s="0" t="str">
        <f aca="false">"185-196"</f>
        <v>185-196</v>
      </c>
      <c r="D180" s="0" t="s">
        <v>13</v>
      </c>
      <c r="E180" s="0" t="str">
        <f aca="false">"328-339"</f>
        <v>328-339</v>
      </c>
      <c r="F180" s="0" t="s">
        <v>1499</v>
      </c>
      <c r="G180" s="0" t="s">
        <v>9</v>
      </c>
      <c r="H180" s="0" t="str">
        <f aca="false">"207-218"</f>
        <v>207-218</v>
      </c>
      <c r="I180" s="0" t="s">
        <v>9</v>
      </c>
      <c r="J180" s="0" t="str">
        <f aca="false">"188-199"</f>
        <v>188-199</v>
      </c>
      <c r="K180" s="0" t="str">
        <f aca="false">"1.24"</f>
        <v>1.24</v>
      </c>
      <c r="L180" s="0" t="str">
        <f aca="false">"10.88"</f>
        <v>10.88</v>
      </c>
      <c r="M180" s="0" t="str">
        <f aca="false">"-176.2"</f>
        <v>-176.2</v>
      </c>
    </row>
    <row r="181" customFormat="false" ht="14.65" hidden="false" customHeight="false" outlineLevel="0" collapsed="false">
      <c r="A181" s="0" t="s">
        <v>1318</v>
      </c>
      <c r="B181" s="0" t="s">
        <v>13</v>
      </c>
      <c r="C181" s="0" t="str">
        <f aca="false">"189-200"</f>
        <v>189-200</v>
      </c>
      <c r="D181" s="0" t="s">
        <v>13</v>
      </c>
      <c r="E181" s="0" t="str">
        <f aca="false">"329-340"</f>
        <v>329-340</v>
      </c>
      <c r="F181" s="0" t="s">
        <v>1500</v>
      </c>
      <c r="G181" s="0" t="s">
        <v>9</v>
      </c>
      <c r="H181" s="0" t="str">
        <f aca="false">"279-290"</f>
        <v>279-290</v>
      </c>
      <c r="I181" s="0" t="s">
        <v>13</v>
      </c>
      <c r="J181" s="0" t="str">
        <f aca="false">"279-290"</f>
        <v>279-290</v>
      </c>
      <c r="K181" s="0" t="str">
        <f aca="false">"1.22"</f>
        <v>1.22</v>
      </c>
      <c r="L181" s="0" t="str">
        <f aca="false">"12.52"</f>
        <v>12.52</v>
      </c>
      <c r="M181" s="0" t="str">
        <f aca="false">"-176.0"</f>
        <v>-176.0</v>
      </c>
    </row>
    <row r="182" customFormat="false" ht="14.65" hidden="false" customHeight="false" outlineLevel="0" collapsed="false">
      <c r="A182" s="0" t="s">
        <v>1318</v>
      </c>
      <c r="B182" s="0" t="s">
        <v>13</v>
      </c>
      <c r="C182" s="0" t="str">
        <f aca="false">"187-198"</f>
        <v>187-198</v>
      </c>
      <c r="D182" s="0" t="s">
        <v>13</v>
      </c>
      <c r="E182" s="0" t="str">
        <f aca="false">"323-334"</f>
        <v>323-334</v>
      </c>
      <c r="F182" s="0" t="s">
        <v>1501</v>
      </c>
      <c r="G182" s="0" t="s">
        <v>9</v>
      </c>
      <c r="H182" s="0" t="str">
        <f aca="false">"262-273"</f>
        <v>262-273</v>
      </c>
      <c r="I182" s="0" t="s">
        <v>13</v>
      </c>
      <c r="J182" s="0" t="str">
        <f aca="false">"262-273"</f>
        <v>262-273</v>
      </c>
      <c r="K182" s="0" t="str">
        <f aca="false">"1.21"</f>
        <v>1.21</v>
      </c>
      <c r="L182" s="0" t="str">
        <f aca="false">"10.45"</f>
        <v>10.45</v>
      </c>
      <c r="M182" s="0" t="str">
        <f aca="false">"-176.0"</f>
        <v>-176.0</v>
      </c>
    </row>
    <row r="183" customFormat="false" ht="14.65" hidden="false" customHeight="false" outlineLevel="0" collapsed="false">
      <c r="A183" s="0" t="s">
        <v>1318</v>
      </c>
      <c r="B183" s="0" t="s">
        <v>13</v>
      </c>
      <c r="C183" s="0" t="str">
        <f aca="false">"182-193"</f>
        <v>182-193</v>
      </c>
      <c r="D183" s="0" t="s">
        <v>13</v>
      </c>
      <c r="E183" s="0" t="str">
        <f aca="false">"329-340"</f>
        <v>329-340</v>
      </c>
      <c r="F183" s="0" t="s">
        <v>1502</v>
      </c>
      <c r="G183" s="0" t="s">
        <v>9</v>
      </c>
      <c r="H183" s="0" t="str">
        <f aca="false">"904-915"</f>
        <v>904-915</v>
      </c>
      <c r="I183" s="0" t="s">
        <v>9</v>
      </c>
      <c r="J183" s="0" t="str">
        <f aca="false">"939-950"</f>
        <v>939-950</v>
      </c>
      <c r="K183" s="0" t="str">
        <f aca="false">"1.25"</f>
        <v>1.25</v>
      </c>
      <c r="L183" s="0" t="str">
        <f aca="false">"9.61"</f>
        <v>9.61</v>
      </c>
      <c r="M183" s="0" t="str">
        <f aca="false">"-174.9"</f>
        <v>-174.9</v>
      </c>
    </row>
    <row r="184" customFormat="false" ht="14.65" hidden="false" customHeight="false" outlineLevel="0" collapsed="false">
      <c r="A184" s="0" t="s">
        <v>1318</v>
      </c>
      <c r="B184" s="0" t="s">
        <v>13</v>
      </c>
      <c r="C184" s="0" t="str">
        <f aca="false">"182-193"</f>
        <v>182-193</v>
      </c>
      <c r="D184" s="0" t="s">
        <v>13</v>
      </c>
      <c r="E184" s="0" t="str">
        <f aca="false">"329-340"</f>
        <v>329-340</v>
      </c>
      <c r="F184" s="0" t="s">
        <v>1503</v>
      </c>
      <c r="G184" s="0" t="s">
        <v>13</v>
      </c>
      <c r="H184" s="0" t="str">
        <f aca="false">"96-107"</f>
        <v>96-107</v>
      </c>
      <c r="I184" s="0" t="s">
        <v>13</v>
      </c>
      <c r="J184" s="0" t="str">
        <f aca="false">"73-84"</f>
        <v>73-84</v>
      </c>
      <c r="K184" s="0" t="str">
        <f aca="false">"1.13"</f>
        <v>1.13</v>
      </c>
      <c r="L184" s="0" t="str">
        <f aca="false">"10.38"</f>
        <v>10.38</v>
      </c>
      <c r="M184" s="0" t="str">
        <f aca="false">"-174.9"</f>
        <v>-174.9</v>
      </c>
    </row>
    <row r="185" customFormat="false" ht="14.65" hidden="false" customHeight="false" outlineLevel="0" collapsed="false">
      <c r="A185" s="0" t="s">
        <v>1318</v>
      </c>
      <c r="B185" s="0" t="s">
        <v>13</v>
      </c>
      <c r="C185" s="0" t="str">
        <f aca="false">"186-197"</f>
        <v>186-197</v>
      </c>
      <c r="D185" s="0" t="s">
        <v>13</v>
      </c>
      <c r="E185" s="0" t="str">
        <f aca="false">"325-336"</f>
        <v>325-336</v>
      </c>
      <c r="F185" s="0" t="s">
        <v>1504</v>
      </c>
      <c r="G185" s="0" t="s">
        <v>9</v>
      </c>
      <c r="H185" s="0" t="str">
        <f aca="false">"102-113"</f>
        <v>102-113</v>
      </c>
      <c r="I185" s="0" t="s">
        <v>9</v>
      </c>
      <c r="J185" s="0" t="str">
        <f aca="false">"11-22"</f>
        <v>11-22</v>
      </c>
      <c r="K185" s="0" t="str">
        <f aca="false">"1.25"</f>
        <v>1.25</v>
      </c>
      <c r="L185" s="0" t="str">
        <f aca="false">"10.79"</f>
        <v>10.79</v>
      </c>
      <c r="M185" s="0" t="str">
        <f aca="false">"-174.8"</f>
        <v>-174.8</v>
      </c>
    </row>
    <row r="186" customFormat="false" ht="14.65" hidden="false" customHeight="false" outlineLevel="0" collapsed="false">
      <c r="A186" s="0" t="s">
        <v>1318</v>
      </c>
      <c r="B186" s="0" t="s">
        <v>13</v>
      </c>
      <c r="C186" s="0" t="str">
        <f aca="false">"189-200"</f>
        <v>189-200</v>
      </c>
      <c r="D186" s="0" t="s">
        <v>13</v>
      </c>
      <c r="E186" s="0" t="str">
        <f aca="false">"322-333"</f>
        <v>322-333</v>
      </c>
      <c r="F186" s="0" t="s">
        <v>1505</v>
      </c>
      <c r="G186" s="0" t="s">
        <v>9</v>
      </c>
      <c r="H186" s="0" t="str">
        <f aca="false">"178-189"</f>
        <v>178-189</v>
      </c>
      <c r="I186" s="0" t="s">
        <v>9</v>
      </c>
      <c r="J186" s="0" t="str">
        <f aca="false">"97-108"</f>
        <v>97-108</v>
      </c>
      <c r="K186" s="0" t="str">
        <f aca="false">"1.07"</f>
        <v>1.07</v>
      </c>
      <c r="L186" s="0" t="str">
        <f aca="false">"10.05"</f>
        <v>10.05</v>
      </c>
      <c r="M186" s="0" t="str">
        <f aca="false">"-174.6"</f>
        <v>-174.6</v>
      </c>
    </row>
    <row r="187" customFormat="false" ht="14.65" hidden="false" customHeight="false" outlineLevel="0" collapsed="false">
      <c r="A187" s="0" t="s">
        <v>1318</v>
      </c>
      <c r="B187" s="0" t="s">
        <v>13</v>
      </c>
      <c r="C187" s="0" t="str">
        <f aca="false">"182-193"</f>
        <v>182-193</v>
      </c>
      <c r="D187" s="0" t="s">
        <v>13</v>
      </c>
      <c r="E187" s="0" t="str">
        <f aca="false">"329-340"</f>
        <v>329-340</v>
      </c>
      <c r="F187" s="0" t="s">
        <v>1506</v>
      </c>
      <c r="G187" s="0" t="s">
        <v>9</v>
      </c>
      <c r="H187" s="0" t="str">
        <f aca="false">"74-85"</f>
        <v>74-85</v>
      </c>
      <c r="I187" s="0" t="s">
        <v>9</v>
      </c>
      <c r="J187" s="0" t="str">
        <f aca="false">"98-109"</f>
        <v>98-109</v>
      </c>
      <c r="K187" s="0" t="str">
        <f aca="false">"1.18"</f>
        <v>1.18</v>
      </c>
      <c r="L187" s="0" t="str">
        <f aca="false">"11.40"</f>
        <v>11.40</v>
      </c>
      <c r="M187" s="0" t="str">
        <f aca="false">"-174.5"</f>
        <v>-174.5</v>
      </c>
    </row>
    <row r="188" customFormat="false" ht="14.65" hidden="false" customHeight="false" outlineLevel="0" collapsed="false">
      <c r="A188" s="0" t="s">
        <v>1318</v>
      </c>
      <c r="B188" s="0" t="s">
        <v>13</v>
      </c>
      <c r="C188" s="0" t="str">
        <f aca="false">"187-198"</f>
        <v>187-198</v>
      </c>
      <c r="D188" s="0" t="s">
        <v>13</v>
      </c>
      <c r="E188" s="0" t="str">
        <f aca="false">"322-333"</f>
        <v>322-333</v>
      </c>
      <c r="F188" s="0" t="s">
        <v>1507</v>
      </c>
      <c r="G188" s="0" t="s">
        <v>9</v>
      </c>
      <c r="H188" s="0" t="str">
        <f aca="false">"445-456"</f>
        <v>445-456</v>
      </c>
      <c r="I188" s="0" t="s">
        <v>9</v>
      </c>
      <c r="J188" s="0" t="str">
        <f aca="false">"462-473"</f>
        <v>462-473</v>
      </c>
      <c r="K188" s="0" t="str">
        <f aca="false">"1.08"</f>
        <v>1.08</v>
      </c>
      <c r="L188" s="0" t="str">
        <f aca="false">"11.33"</f>
        <v>11.33</v>
      </c>
      <c r="M188" s="0" t="str">
        <f aca="false">"-174.5"</f>
        <v>-174.5</v>
      </c>
    </row>
    <row r="189" customFormat="false" ht="14.65" hidden="false" customHeight="false" outlineLevel="0" collapsed="false">
      <c r="A189" s="0" t="s">
        <v>1318</v>
      </c>
      <c r="B189" s="0" t="s">
        <v>13</v>
      </c>
      <c r="C189" s="0" t="str">
        <f aca="false">"189-200"</f>
        <v>189-200</v>
      </c>
      <c r="D189" s="0" t="s">
        <v>13</v>
      </c>
      <c r="E189" s="0" t="str">
        <f aca="false">"322-333"</f>
        <v>322-333</v>
      </c>
      <c r="F189" s="0" t="s">
        <v>1508</v>
      </c>
      <c r="G189" s="0" t="s">
        <v>120</v>
      </c>
      <c r="H189" s="0" t="str">
        <f aca="false">"41-52"</f>
        <v>41-52</v>
      </c>
      <c r="I189" s="0" t="s">
        <v>120</v>
      </c>
      <c r="J189" s="0" t="str">
        <f aca="false">"59-70"</f>
        <v>59-70</v>
      </c>
      <c r="K189" s="0" t="str">
        <f aca="false">"1.11"</f>
        <v>1.11</v>
      </c>
      <c r="L189" s="0" t="str">
        <f aca="false">"10.22"</f>
        <v>10.22</v>
      </c>
      <c r="M189" s="0" t="str">
        <f aca="false">"-174.4"</f>
        <v>-174.4</v>
      </c>
    </row>
    <row r="190" customFormat="false" ht="14.65" hidden="false" customHeight="false" outlineLevel="0" collapsed="false">
      <c r="A190" s="0" t="s">
        <v>1318</v>
      </c>
      <c r="B190" s="0" t="s">
        <v>13</v>
      </c>
      <c r="C190" s="0" t="str">
        <f aca="false">"185-196"</f>
        <v>185-196</v>
      </c>
      <c r="D190" s="0" t="s">
        <v>13</v>
      </c>
      <c r="E190" s="0" t="str">
        <f aca="false">"325-336"</f>
        <v>325-336</v>
      </c>
      <c r="F190" s="0" t="s">
        <v>1509</v>
      </c>
      <c r="G190" s="0" t="s">
        <v>9</v>
      </c>
      <c r="H190" s="0" t="str">
        <f aca="false">"20-31"</f>
        <v>20-31</v>
      </c>
      <c r="I190" s="0" t="s">
        <v>9</v>
      </c>
      <c r="J190" s="0" t="str">
        <f aca="false">"47-58"</f>
        <v>47-58</v>
      </c>
      <c r="K190" s="0" t="str">
        <f aca="false">"1.21"</f>
        <v>1.21</v>
      </c>
      <c r="L190" s="0" t="str">
        <f aca="false">"11.32"</f>
        <v>11.32</v>
      </c>
      <c r="M190" s="0" t="str">
        <f aca="false">"-173.0"</f>
        <v>-173.0</v>
      </c>
    </row>
    <row r="191" customFormat="false" ht="14.65" hidden="false" customHeight="false" outlineLevel="0" collapsed="false">
      <c r="A191" s="0" t="s">
        <v>1318</v>
      </c>
      <c r="B191" s="0" t="s">
        <v>13</v>
      </c>
      <c r="C191" s="0" t="str">
        <f aca="false">"189-200"</f>
        <v>189-200</v>
      </c>
      <c r="D191" s="0" t="s">
        <v>13</v>
      </c>
      <c r="E191" s="0" t="str">
        <f aca="false">"322-333"</f>
        <v>322-333</v>
      </c>
      <c r="F191" s="0" t="s">
        <v>1510</v>
      </c>
      <c r="G191" s="0" t="s">
        <v>9</v>
      </c>
      <c r="H191" s="0" t="str">
        <f aca="false">"147-158"</f>
        <v>147-158</v>
      </c>
      <c r="I191" s="0" t="s">
        <v>9</v>
      </c>
      <c r="J191" s="0" t="str">
        <f aca="false">"249-260"</f>
        <v>249-260</v>
      </c>
      <c r="K191" s="0" t="str">
        <f aca="false">"1.14"</f>
        <v>1.14</v>
      </c>
      <c r="L191" s="0" t="str">
        <f aca="false">"10.91"</f>
        <v>10.91</v>
      </c>
      <c r="M191" s="0" t="str">
        <f aca="false">"-172.8"</f>
        <v>-172.8</v>
      </c>
    </row>
    <row r="192" customFormat="false" ht="14.65" hidden="false" customHeight="false" outlineLevel="0" collapsed="false">
      <c r="A192" s="0" t="s">
        <v>1318</v>
      </c>
      <c r="B192" s="0" t="s">
        <v>13</v>
      </c>
      <c r="C192" s="0" t="str">
        <f aca="false">"189-200"</f>
        <v>189-200</v>
      </c>
      <c r="D192" s="0" t="s">
        <v>13</v>
      </c>
      <c r="E192" s="0" t="str">
        <f aca="false">"322-333"</f>
        <v>322-333</v>
      </c>
      <c r="F192" s="0" t="s">
        <v>1511</v>
      </c>
      <c r="G192" s="0" t="s">
        <v>9</v>
      </c>
      <c r="H192" s="0" t="str">
        <f aca="false">"177-188"</f>
        <v>177-188</v>
      </c>
      <c r="I192" s="0" t="s">
        <v>9</v>
      </c>
      <c r="J192" s="0" t="str">
        <f aca="false">"155-166"</f>
        <v>155-166</v>
      </c>
      <c r="K192" s="0" t="str">
        <f aca="false">"1.11"</f>
        <v>1.11</v>
      </c>
      <c r="L192" s="0" t="str">
        <f aca="false">"11.17"</f>
        <v>11.17</v>
      </c>
      <c r="M192" s="0" t="str">
        <f aca="false">"-172.1"</f>
        <v>-172.1</v>
      </c>
    </row>
    <row r="193" customFormat="false" ht="14.65" hidden="false" customHeight="false" outlineLevel="0" collapsed="false">
      <c r="A193" s="0" t="s">
        <v>1318</v>
      </c>
      <c r="B193" s="0" t="s">
        <v>13</v>
      </c>
      <c r="C193" s="0" t="str">
        <f aca="false">"185-196"</f>
        <v>185-196</v>
      </c>
      <c r="D193" s="0" t="s">
        <v>13</v>
      </c>
      <c r="E193" s="0" t="str">
        <f aca="false">"325-336"</f>
        <v>325-336</v>
      </c>
      <c r="F193" s="0" t="s">
        <v>1512</v>
      </c>
      <c r="G193" s="0" t="s">
        <v>9</v>
      </c>
      <c r="H193" s="0" t="str">
        <f aca="false">"543-554"</f>
        <v>543-554</v>
      </c>
      <c r="I193" s="0" t="s">
        <v>9</v>
      </c>
      <c r="J193" s="0" t="str">
        <f aca="false">"516-527"</f>
        <v>516-527</v>
      </c>
      <c r="K193" s="0" t="str">
        <f aca="false">"1.16"</f>
        <v>1.16</v>
      </c>
      <c r="L193" s="0" t="str">
        <f aca="false">"11.02"</f>
        <v>11.02</v>
      </c>
      <c r="M193" s="0" t="str">
        <f aca="false">"-168.6"</f>
        <v>-168.6</v>
      </c>
    </row>
    <row r="194" customFormat="false" ht="14.65" hidden="false" customHeight="false" outlineLevel="0" collapsed="false">
      <c r="A194" s="0" t="s">
        <v>1318</v>
      </c>
      <c r="B194" s="0" t="s">
        <v>13</v>
      </c>
      <c r="C194" s="0" t="str">
        <f aca="false">"189-200"</f>
        <v>189-200</v>
      </c>
      <c r="D194" s="0" t="s">
        <v>13</v>
      </c>
      <c r="E194" s="0" t="str">
        <f aca="false">"322-333"</f>
        <v>322-333</v>
      </c>
      <c r="F194" s="0" t="s">
        <v>1513</v>
      </c>
      <c r="G194" s="0" t="s">
        <v>9</v>
      </c>
      <c r="H194" s="0" t="str">
        <f aca="false">"302-313"</f>
        <v>302-313</v>
      </c>
      <c r="I194" s="0" t="s">
        <v>9</v>
      </c>
      <c r="J194" s="0" t="str">
        <f aca="false">"366-377"</f>
        <v>366-377</v>
      </c>
      <c r="K194" s="0" t="str">
        <f aca="false">"1.24"</f>
        <v>1.24</v>
      </c>
      <c r="L194" s="0" t="str">
        <f aca="false">"11.30"</f>
        <v>11.30</v>
      </c>
      <c r="M194" s="0" t="str">
        <f aca="false">"-167.3"</f>
        <v>-167.3</v>
      </c>
    </row>
    <row r="195" customFormat="false" ht="14.65" hidden="false" customHeight="false" outlineLevel="0" collapsed="false">
      <c r="A195" s="0" t="s">
        <v>1318</v>
      </c>
      <c r="B195" s="0" t="s">
        <v>13</v>
      </c>
      <c r="C195" s="0" t="str">
        <f aca="false">"180-191"</f>
        <v>180-191</v>
      </c>
      <c r="D195" s="0" t="s">
        <v>13</v>
      </c>
      <c r="E195" s="0" t="str">
        <f aca="false">"332-343"</f>
        <v>332-343</v>
      </c>
      <c r="F195" s="0" t="s">
        <v>1514</v>
      </c>
      <c r="G195" s="0" t="s">
        <v>9</v>
      </c>
      <c r="H195" s="0" t="str">
        <f aca="false">"98-109"</f>
        <v>98-109</v>
      </c>
      <c r="I195" s="0" t="s">
        <v>9</v>
      </c>
      <c r="J195" s="0" t="str">
        <f aca="false">"115-126"</f>
        <v>115-126</v>
      </c>
      <c r="K195" s="0" t="str">
        <f aca="false">"1.19"</f>
        <v>1.19</v>
      </c>
      <c r="L195" s="0" t="str">
        <f aca="false">"10.30"</f>
        <v>10.30</v>
      </c>
      <c r="M195" s="0" t="str">
        <f aca="false">"-166.2"</f>
        <v>-166.2</v>
      </c>
    </row>
    <row r="196" customFormat="false" ht="14.65" hidden="false" customHeight="false" outlineLevel="0" collapsed="false">
      <c r="A196" s="0" t="s">
        <v>1318</v>
      </c>
      <c r="B196" s="0" t="s">
        <v>13</v>
      </c>
      <c r="C196" s="0" t="str">
        <f aca="false">"189-200"</f>
        <v>189-200</v>
      </c>
      <c r="D196" s="0" t="s">
        <v>13</v>
      </c>
      <c r="E196" s="0" t="str">
        <f aca="false">"322-333"</f>
        <v>322-333</v>
      </c>
      <c r="F196" s="0" t="s">
        <v>1515</v>
      </c>
      <c r="G196" s="0" t="s">
        <v>9</v>
      </c>
      <c r="H196" s="0" t="str">
        <f aca="false">"47-58"</f>
        <v>47-58</v>
      </c>
      <c r="I196" s="0" t="s">
        <v>9</v>
      </c>
      <c r="J196" s="0" t="str">
        <f aca="false">"65-76"</f>
        <v>65-76</v>
      </c>
      <c r="K196" s="0" t="str">
        <f aca="false">"1.24"</f>
        <v>1.24</v>
      </c>
      <c r="L196" s="0" t="str">
        <f aca="false">"10.98"</f>
        <v>10.98</v>
      </c>
      <c r="M196" s="0" t="str">
        <f aca="false">"-165.5"</f>
        <v>-165.5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5561224489796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5561224489796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1516</v>
      </c>
      <c r="B2" s="0" t="s">
        <v>13</v>
      </c>
      <c r="C2" s="0" t="str">
        <f aca="false">"200-211"</f>
        <v>200-211</v>
      </c>
      <c r="D2" s="0" t="s">
        <v>13</v>
      </c>
      <c r="E2" s="0" t="str">
        <f aca="false">"245-256"</f>
        <v>245-256</v>
      </c>
      <c r="F2" s="0" t="s">
        <v>1517</v>
      </c>
      <c r="G2" s="0" t="s">
        <v>9</v>
      </c>
      <c r="H2" s="0" t="str">
        <f aca="false">"309-320"</f>
        <v>309-320</v>
      </c>
      <c r="I2" s="0" t="s">
        <v>9</v>
      </c>
      <c r="J2" s="0" t="str">
        <f aca="false">"354-365"</f>
        <v>354-365</v>
      </c>
      <c r="K2" s="0" t="str">
        <f aca="false">"1.15"</f>
        <v>1.15</v>
      </c>
      <c r="L2" s="0" t="str">
        <f aca="false">"9.35"</f>
        <v>9.35</v>
      </c>
      <c r="M2" s="0" t="str">
        <f aca="false">"-45.8"</f>
        <v>-45.8</v>
      </c>
    </row>
    <row r="3" customFormat="false" ht="12.8" hidden="false" customHeight="false" outlineLevel="0" collapsed="false">
      <c r="A3" s="0" t="s">
        <v>1516</v>
      </c>
      <c r="B3" s="0" t="s">
        <v>13</v>
      </c>
      <c r="C3" s="0" t="str">
        <f aca="false">"204-215"</f>
        <v>204-215</v>
      </c>
      <c r="D3" s="0" t="s">
        <v>13</v>
      </c>
      <c r="E3" s="0" t="str">
        <f aca="false">"249-260"</f>
        <v>249-260</v>
      </c>
      <c r="F3" s="0" t="s">
        <v>1518</v>
      </c>
      <c r="G3" s="0" t="s">
        <v>9</v>
      </c>
      <c r="H3" s="0" t="str">
        <f aca="false">"355-366"</f>
        <v>355-366</v>
      </c>
      <c r="I3" s="0" t="s">
        <v>9</v>
      </c>
      <c r="J3" s="0" t="str">
        <f aca="false">"119-130"</f>
        <v>119-130</v>
      </c>
      <c r="K3" s="0" t="str">
        <f aca="false">"0.90"</f>
        <v>0.90</v>
      </c>
      <c r="L3" s="0" t="str">
        <f aca="false">"9.54"</f>
        <v>9.54</v>
      </c>
      <c r="M3" s="0" t="str">
        <f aca="false">"-42.7"</f>
        <v>-42.7</v>
      </c>
    </row>
    <row r="4" customFormat="false" ht="12.8" hidden="false" customHeight="false" outlineLevel="0" collapsed="false">
      <c r="A4" s="0" t="s">
        <v>1516</v>
      </c>
      <c r="B4" s="0" t="s">
        <v>13</v>
      </c>
      <c r="C4" s="0" t="str">
        <f aca="false">"200-211"</f>
        <v>200-211</v>
      </c>
      <c r="D4" s="0" t="s">
        <v>13</v>
      </c>
      <c r="E4" s="0" t="str">
        <f aca="false">"245-256"</f>
        <v>245-256</v>
      </c>
      <c r="F4" s="0" t="s">
        <v>1519</v>
      </c>
      <c r="G4" s="0" t="s">
        <v>9</v>
      </c>
      <c r="H4" s="0" t="str">
        <f aca="false">"580-591"</f>
        <v>580-591</v>
      </c>
      <c r="I4" s="0" t="s">
        <v>9</v>
      </c>
      <c r="J4" s="0" t="str">
        <f aca="false">"543-554"</f>
        <v>543-554</v>
      </c>
      <c r="K4" s="0" t="str">
        <f aca="false">"1.10"</f>
        <v>1.10</v>
      </c>
      <c r="L4" s="0" t="str">
        <f aca="false">"9.34"</f>
        <v>9.34</v>
      </c>
      <c r="M4" s="0" t="str">
        <f aca="false">"-39.0"</f>
        <v>-39.0</v>
      </c>
    </row>
    <row r="5" customFormat="false" ht="12.8" hidden="false" customHeight="false" outlineLevel="0" collapsed="false">
      <c r="A5" s="0" t="s">
        <v>1516</v>
      </c>
      <c r="B5" s="0" t="s">
        <v>13</v>
      </c>
      <c r="C5" s="0" t="str">
        <f aca="false">"204-215"</f>
        <v>204-215</v>
      </c>
      <c r="D5" s="0" t="s">
        <v>13</v>
      </c>
      <c r="E5" s="0" t="str">
        <f aca="false">"249-260"</f>
        <v>249-260</v>
      </c>
      <c r="F5" s="0" t="s">
        <v>1520</v>
      </c>
      <c r="G5" s="0" t="s">
        <v>9</v>
      </c>
      <c r="H5" s="0" t="str">
        <f aca="false">"347-358"</f>
        <v>347-358</v>
      </c>
      <c r="I5" s="0" t="s">
        <v>9</v>
      </c>
      <c r="J5" s="0" t="str">
        <f aca="false">"117-128"</f>
        <v>117-128</v>
      </c>
      <c r="K5" s="0" t="str">
        <f aca="false">"0.85"</f>
        <v>0.85</v>
      </c>
      <c r="L5" s="0" t="str">
        <f aca="false">"9.32"</f>
        <v>9.32</v>
      </c>
      <c r="M5" s="0" t="str">
        <f aca="false">"-41.3"</f>
        <v>-41.3</v>
      </c>
    </row>
    <row r="6" customFormat="false" ht="12.8" hidden="false" customHeight="false" outlineLevel="0" collapsed="false">
      <c r="A6" s="0" t="s">
        <v>1516</v>
      </c>
      <c r="B6" s="0" t="s">
        <v>13</v>
      </c>
      <c r="C6" s="0" t="str">
        <f aca="false">"203-214"</f>
        <v>203-214</v>
      </c>
      <c r="D6" s="0" t="s">
        <v>13</v>
      </c>
      <c r="E6" s="0" t="str">
        <f aca="false">"249-260"</f>
        <v>249-260</v>
      </c>
      <c r="F6" s="0" t="s">
        <v>1521</v>
      </c>
      <c r="G6" s="0" t="s">
        <v>120</v>
      </c>
      <c r="H6" s="0" t="str">
        <f aca="false">"227-238"</f>
        <v>227-238</v>
      </c>
      <c r="I6" s="0" t="s">
        <v>9</v>
      </c>
      <c r="J6" s="0" t="str">
        <f aca="false">"90-101"</f>
        <v>90-101</v>
      </c>
      <c r="K6" s="0" t="str">
        <f aca="false">"0.94"</f>
        <v>0.94</v>
      </c>
      <c r="L6" s="0" t="str">
        <f aca="false">"9.51"</f>
        <v>9.51</v>
      </c>
      <c r="M6" s="0" t="str">
        <f aca="false">"-37.7"</f>
        <v>-37.7</v>
      </c>
    </row>
    <row r="7" customFormat="false" ht="12.8" hidden="false" customHeight="false" outlineLevel="0" collapsed="false">
      <c r="A7" s="0" t="s">
        <v>1516</v>
      </c>
      <c r="B7" s="0" t="s">
        <v>13</v>
      </c>
      <c r="C7" s="0" t="str">
        <f aca="false">"204-215"</f>
        <v>204-215</v>
      </c>
      <c r="D7" s="0" t="s">
        <v>13</v>
      </c>
      <c r="E7" s="0" t="str">
        <f aca="false">"249-260"</f>
        <v>249-260</v>
      </c>
      <c r="F7" s="0" t="s">
        <v>1522</v>
      </c>
      <c r="G7" s="0" t="s">
        <v>9</v>
      </c>
      <c r="H7" s="0" t="str">
        <f aca="false">"114-125"</f>
        <v>114-125</v>
      </c>
      <c r="I7" s="0" t="s">
        <v>120</v>
      </c>
      <c r="J7" s="0" t="str">
        <f aca="false">"204-215"</f>
        <v>204-215</v>
      </c>
      <c r="K7" s="0" t="str">
        <f aca="false">"0.81"</f>
        <v>0.81</v>
      </c>
      <c r="L7" s="0" t="str">
        <f aca="false">"9.51"</f>
        <v>9.51</v>
      </c>
      <c r="M7" s="0" t="str">
        <f aca="false">"-45.6"</f>
        <v>-45.6</v>
      </c>
    </row>
    <row r="8" customFormat="false" ht="12.8" hidden="false" customHeight="false" outlineLevel="0" collapsed="false">
      <c r="A8" s="0" t="s">
        <v>1516</v>
      </c>
      <c r="B8" s="0" t="s">
        <v>13</v>
      </c>
      <c r="C8" s="0" t="str">
        <f aca="false">"200-211"</f>
        <v>200-211</v>
      </c>
      <c r="D8" s="0" t="s">
        <v>13</v>
      </c>
      <c r="E8" s="0" t="str">
        <f aca="false">"245-256"</f>
        <v>245-256</v>
      </c>
      <c r="F8" s="0" t="s">
        <v>1523</v>
      </c>
      <c r="G8" s="0" t="s">
        <v>120</v>
      </c>
      <c r="H8" s="0" t="str">
        <f aca="false">"35-46"</f>
        <v>35-46</v>
      </c>
      <c r="I8" s="0" t="s">
        <v>120</v>
      </c>
      <c r="J8" s="0" t="str">
        <f aca="false">"123-134"</f>
        <v>123-134</v>
      </c>
      <c r="K8" s="0" t="str">
        <f aca="false">"1.04"</f>
        <v>1.04</v>
      </c>
      <c r="L8" s="0" t="str">
        <f aca="false">"9.28"</f>
        <v>9.28</v>
      </c>
      <c r="M8" s="0" t="str">
        <f aca="false">"-37.9"</f>
        <v>-37.9</v>
      </c>
    </row>
    <row r="9" customFormat="false" ht="12.8" hidden="false" customHeight="false" outlineLevel="0" collapsed="false">
      <c r="A9" s="0" t="s">
        <v>1516</v>
      </c>
      <c r="B9" s="0" t="s">
        <v>13</v>
      </c>
      <c r="C9" s="0" t="str">
        <f aca="false">"204-215"</f>
        <v>204-215</v>
      </c>
      <c r="D9" s="0" t="s">
        <v>13</v>
      </c>
      <c r="E9" s="0" t="str">
        <f aca="false">"249-260"</f>
        <v>249-260</v>
      </c>
      <c r="F9" s="0" t="s">
        <v>1524</v>
      </c>
      <c r="G9" s="0" t="s">
        <v>9</v>
      </c>
      <c r="H9" s="0" t="str">
        <f aca="false">"219-230"</f>
        <v>219-230</v>
      </c>
      <c r="I9" s="0" t="s">
        <v>9</v>
      </c>
      <c r="J9" s="0" t="str">
        <f aca="false">"182-193"</f>
        <v>182-193</v>
      </c>
      <c r="K9" s="0" t="str">
        <f aca="false">"0.92"</f>
        <v>0.92</v>
      </c>
      <c r="L9" s="0" t="str">
        <f aca="false">"9.41"</f>
        <v>9.41</v>
      </c>
      <c r="M9" s="0" t="str">
        <f aca="false">"-45.1"</f>
        <v>-45.1</v>
      </c>
    </row>
    <row r="10" customFormat="false" ht="12.8" hidden="false" customHeight="false" outlineLevel="0" collapsed="false">
      <c r="A10" s="0" t="s">
        <v>1516</v>
      </c>
      <c r="B10" s="0" t="s">
        <v>13</v>
      </c>
      <c r="C10" s="0" t="str">
        <f aca="false">"200-211"</f>
        <v>200-211</v>
      </c>
      <c r="D10" s="0" t="s">
        <v>13</v>
      </c>
      <c r="E10" s="0" t="str">
        <f aca="false">"245-256"</f>
        <v>245-256</v>
      </c>
      <c r="F10" s="0" t="s">
        <v>1525</v>
      </c>
      <c r="G10" s="0" t="s">
        <v>13</v>
      </c>
      <c r="H10" s="0" t="str">
        <f aca="false">"60-71"</f>
        <v>60-71</v>
      </c>
      <c r="I10" s="0" t="s">
        <v>13</v>
      </c>
      <c r="J10" s="0" t="str">
        <f aca="false">"98-109"</f>
        <v>98-109</v>
      </c>
      <c r="K10" s="0" t="str">
        <f aca="false">"1.21"</f>
        <v>1.21</v>
      </c>
      <c r="L10" s="0" t="str">
        <f aca="false">"10.05"</f>
        <v>10.05</v>
      </c>
      <c r="M10" s="0" t="str">
        <f aca="false">"-34.5"</f>
        <v>-34.5</v>
      </c>
    </row>
    <row r="11" customFormat="false" ht="12.8" hidden="false" customHeight="false" outlineLevel="0" collapsed="false">
      <c r="A11" s="0" t="s">
        <v>1516</v>
      </c>
      <c r="B11" s="0" t="s">
        <v>13</v>
      </c>
      <c r="C11" s="0" t="str">
        <f aca="false">"208-219"</f>
        <v>208-219</v>
      </c>
      <c r="D11" s="0" t="s">
        <v>13</v>
      </c>
      <c r="E11" s="0" t="str">
        <f aca="false">"253-264"</f>
        <v>253-264</v>
      </c>
      <c r="F11" s="0" t="s">
        <v>1526</v>
      </c>
      <c r="G11" s="0" t="s">
        <v>9</v>
      </c>
      <c r="H11" s="0" t="str">
        <f aca="false">"359-370"</f>
        <v>359-370</v>
      </c>
      <c r="I11" s="0" t="s">
        <v>9</v>
      </c>
      <c r="J11" s="0" t="str">
        <f aca="false">"341-352"</f>
        <v>341-352</v>
      </c>
      <c r="K11" s="0" t="str">
        <f aca="false">"0.88"</f>
        <v>0.88</v>
      </c>
      <c r="L11" s="0" t="str">
        <f aca="false">"9.93"</f>
        <v>9.93</v>
      </c>
      <c r="M11" s="0" t="str">
        <f aca="false">"-38.0"</f>
        <v>-38.0</v>
      </c>
    </row>
    <row r="12" customFormat="false" ht="12.8" hidden="false" customHeight="false" outlineLevel="0" collapsed="false">
      <c r="A12" s="0" t="s">
        <v>1516</v>
      </c>
      <c r="B12" s="0" t="s">
        <v>13</v>
      </c>
      <c r="C12" s="0" t="str">
        <f aca="false">"200-211"</f>
        <v>200-211</v>
      </c>
      <c r="D12" s="0" t="s">
        <v>13</v>
      </c>
      <c r="E12" s="0" t="str">
        <f aca="false">"245-256"</f>
        <v>245-256</v>
      </c>
      <c r="F12" s="0" t="s">
        <v>1527</v>
      </c>
      <c r="G12" s="0" t="s">
        <v>13</v>
      </c>
      <c r="H12" s="0" t="str">
        <f aca="false">"35-46"</f>
        <v>35-46</v>
      </c>
      <c r="I12" s="0" t="s">
        <v>13</v>
      </c>
      <c r="J12" s="0" t="str">
        <f aca="false">"154-165"</f>
        <v>154-165</v>
      </c>
      <c r="K12" s="0" t="str">
        <f aca="false">"0.96"</f>
        <v>0.96</v>
      </c>
      <c r="L12" s="0" t="str">
        <f aca="false">"8.96"</f>
        <v>8.96</v>
      </c>
      <c r="M12" s="0" t="str">
        <f aca="false">"-38.6"</f>
        <v>-38.6</v>
      </c>
    </row>
    <row r="13" customFormat="false" ht="12.8" hidden="false" customHeight="false" outlineLevel="0" collapsed="false">
      <c r="A13" s="0" t="s">
        <v>1516</v>
      </c>
      <c r="B13" s="0" t="s">
        <v>13</v>
      </c>
      <c r="C13" s="0" t="str">
        <f aca="false">"200-211"</f>
        <v>200-211</v>
      </c>
      <c r="D13" s="0" t="s">
        <v>13</v>
      </c>
      <c r="E13" s="0" t="str">
        <f aca="false">"245-256"</f>
        <v>245-256</v>
      </c>
      <c r="F13" s="0" t="s">
        <v>1528</v>
      </c>
      <c r="G13" s="0" t="s">
        <v>13</v>
      </c>
      <c r="H13" s="0" t="str">
        <f aca="false">"90-101"</f>
        <v>90-101</v>
      </c>
      <c r="I13" s="0" t="s">
        <v>13</v>
      </c>
      <c r="J13" s="0" t="str">
        <f aca="false">"122-133"</f>
        <v>122-133</v>
      </c>
      <c r="K13" s="0" t="str">
        <f aca="false">"0.99"</f>
        <v>0.99</v>
      </c>
      <c r="L13" s="0" t="str">
        <f aca="false">"8.72"</f>
        <v>8.72</v>
      </c>
      <c r="M13" s="0" t="str">
        <f aca="false">"-43.0"</f>
        <v>-43.0</v>
      </c>
    </row>
    <row r="14" customFormat="false" ht="12.8" hidden="false" customHeight="false" outlineLevel="0" collapsed="false">
      <c r="A14" s="0" t="s">
        <v>1516</v>
      </c>
      <c r="B14" s="0" t="s">
        <v>13</v>
      </c>
      <c r="C14" s="0" t="str">
        <f aca="false">"200-211"</f>
        <v>200-211</v>
      </c>
      <c r="D14" s="0" t="s">
        <v>13</v>
      </c>
      <c r="E14" s="0" t="str">
        <f aca="false">"245-256"</f>
        <v>245-256</v>
      </c>
      <c r="F14" s="0" t="s">
        <v>1529</v>
      </c>
      <c r="G14" s="0" t="s">
        <v>24</v>
      </c>
      <c r="H14" s="0" t="str">
        <f aca="false">"127-138"</f>
        <v>127-138</v>
      </c>
      <c r="I14" s="0" t="s">
        <v>24</v>
      </c>
      <c r="J14" s="0" t="str">
        <f aca="false">"76-87"</f>
        <v>76-87</v>
      </c>
      <c r="K14" s="0" t="str">
        <f aca="false">"0.97"</f>
        <v>0.97</v>
      </c>
      <c r="L14" s="0" t="str">
        <f aca="false">"9.17"</f>
        <v>9.17</v>
      </c>
      <c r="M14" s="0" t="str">
        <f aca="false">"-40.2"</f>
        <v>-40.2</v>
      </c>
    </row>
    <row r="15" customFormat="false" ht="12.8" hidden="false" customHeight="false" outlineLevel="0" collapsed="false">
      <c r="A15" s="0" t="s">
        <v>1516</v>
      </c>
      <c r="B15" s="0" t="s">
        <v>13</v>
      </c>
      <c r="C15" s="0" t="str">
        <f aca="false">"200-211"</f>
        <v>200-211</v>
      </c>
      <c r="D15" s="0" t="s">
        <v>13</v>
      </c>
      <c r="E15" s="0" t="str">
        <f aca="false">"245-256"</f>
        <v>245-256</v>
      </c>
      <c r="F15" s="0" t="s">
        <v>1530</v>
      </c>
      <c r="G15" s="0" t="s">
        <v>9</v>
      </c>
      <c r="H15" s="0" t="str">
        <f aca="false">"85-96"</f>
        <v>85-96</v>
      </c>
      <c r="I15" s="0" t="s">
        <v>9</v>
      </c>
      <c r="J15" s="0" t="str">
        <f aca="false">"34-45"</f>
        <v>34-45</v>
      </c>
      <c r="K15" s="0" t="str">
        <f aca="false">"1.00"</f>
        <v>1.00</v>
      </c>
      <c r="L15" s="0" t="str">
        <f aca="false">"9.82"</f>
        <v>9.82</v>
      </c>
      <c r="M15" s="0" t="str">
        <f aca="false">"-38.4"</f>
        <v>-38.4</v>
      </c>
    </row>
    <row r="16" customFormat="false" ht="12.8" hidden="false" customHeight="false" outlineLevel="0" collapsed="false">
      <c r="A16" s="0" t="s">
        <v>1516</v>
      </c>
      <c r="B16" s="0" t="s">
        <v>13</v>
      </c>
      <c r="C16" s="0" t="str">
        <f aca="false">"204-215"</f>
        <v>204-215</v>
      </c>
      <c r="D16" s="0" t="s">
        <v>13</v>
      </c>
      <c r="E16" s="0" t="str">
        <f aca="false">"249-260"</f>
        <v>249-260</v>
      </c>
      <c r="F16" s="0" t="s">
        <v>1531</v>
      </c>
      <c r="G16" s="0" t="s">
        <v>9</v>
      </c>
      <c r="H16" s="0" t="str">
        <f aca="false">"360-371"</f>
        <v>360-371</v>
      </c>
      <c r="I16" s="0" t="s">
        <v>9</v>
      </c>
      <c r="J16" s="0" t="str">
        <f aca="false">"115-126"</f>
        <v>115-126</v>
      </c>
      <c r="K16" s="0" t="str">
        <f aca="false">"1.25"</f>
        <v>1.25</v>
      </c>
      <c r="L16" s="0" t="str">
        <f aca="false">"10.05"</f>
        <v>10.05</v>
      </c>
      <c r="M16" s="0" t="str">
        <f aca="false">"-42.6"</f>
        <v>-42.6</v>
      </c>
    </row>
    <row r="17" customFormat="false" ht="12.8" hidden="false" customHeight="false" outlineLevel="0" collapsed="false">
      <c r="A17" s="0" t="s">
        <v>1516</v>
      </c>
      <c r="B17" s="0" t="s">
        <v>13</v>
      </c>
      <c r="C17" s="0" t="str">
        <f aca="false">"200-211"</f>
        <v>200-211</v>
      </c>
      <c r="D17" s="0" t="s">
        <v>13</v>
      </c>
      <c r="E17" s="0" t="str">
        <f aca="false">"245-256"</f>
        <v>245-256</v>
      </c>
      <c r="F17" s="0" t="s">
        <v>1532</v>
      </c>
      <c r="G17" s="0" t="s">
        <v>71</v>
      </c>
      <c r="H17" s="0" t="str">
        <f aca="false">"127-138"</f>
        <v>127-138</v>
      </c>
      <c r="I17" s="0" t="s">
        <v>71</v>
      </c>
      <c r="J17" s="0" t="str">
        <f aca="false">"73-84"</f>
        <v>73-84</v>
      </c>
      <c r="K17" s="0" t="str">
        <f aca="false">"1.22"</f>
        <v>1.22</v>
      </c>
      <c r="L17" s="0" t="str">
        <f aca="false">"10.21"</f>
        <v>10.21</v>
      </c>
      <c r="M17" s="0" t="str">
        <f aca="false">"-50.6"</f>
        <v>-50.6</v>
      </c>
    </row>
    <row r="18" customFormat="false" ht="12.8" hidden="false" customHeight="false" outlineLevel="0" collapsed="false">
      <c r="A18" s="0" t="s">
        <v>1516</v>
      </c>
      <c r="B18" s="0" t="s">
        <v>13</v>
      </c>
      <c r="C18" s="0" t="str">
        <f aca="false">"203-214"</f>
        <v>203-214</v>
      </c>
      <c r="D18" s="0" t="s">
        <v>13</v>
      </c>
      <c r="E18" s="0" t="str">
        <f aca="false">"249-260"</f>
        <v>249-260</v>
      </c>
      <c r="F18" s="0" t="s">
        <v>1533</v>
      </c>
      <c r="G18" s="0" t="s">
        <v>9</v>
      </c>
      <c r="H18" s="0" t="str">
        <f aca="false">"14-25"</f>
        <v>14-25</v>
      </c>
      <c r="I18" s="0" t="s">
        <v>9</v>
      </c>
      <c r="J18" s="0" t="str">
        <f aca="false">"100-111"</f>
        <v>100-111</v>
      </c>
      <c r="K18" s="0" t="str">
        <f aca="false">"1.15"</f>
        <v>1.15</v>
      </c>
      <c r="L18" s="0" t="str">
        <f aca="false">"9.23"</f>
        <v>9.23</v>
      </c>
      <c r="M18" s="0" t="str">
        <f aca="false">"-55.0"</f>
        <v>-55.0</v>
      </c>
    </row>
    <row r="19" customFormat="false" ht="12.8" hidden="false" customHeight="false" outlineLevel="0" collapsed="false">
      <c r="A19" s="0" t="s">
        <v>1516</v>
      </c>
      <c r="B19" s="0" t="s">
        <v>13</v>
      </c>
      <c r="C19" s="0" t="str">
        <f aca="false">"204-215"</f>
        <v>204-215</v>
      </c>
      <c r="D19" s="0" t="s">
        <v>13</v>
      </c>
      <c r="E19" s="0" t="str">
        <f aca="false">"249-260"</f>
        <v>249-260</v>
      </c>
      <c r="F19" s="0" t="s">
        <v>1534</v>
      </c>
      <c r="G19" s="0" t="s">
        <v>13</v>
      </c>
      <c r="H19" s="0" t="str">
        <f aca="false">"130-141"</f>
        <v>130-141</v>
      </c>
      <c r="I19" s="0" t="s">
        <v>13</v>
      </c>
      <c r="J19" s="0" t="str">
        <f aca="false">"96-107"</f>
        <v>96-107</v>
      </c>
      <c r="K19" s="0" t="str">
        <f aca="false">"1.02"</f>
        <v>1.02</v>
      </c>
      <c r="L19" s="0" t="str">
        <f aca="false">"9.90"</f>
        <v>9.90</v>
      </c>
      <c r="M19" s="0" t="str">
        <f aca="false">"-50.4"</f>
        <v>-50.4</v>
      </c>
    </row>
    <row r="20" customFormat="false" ht="12.8" hidden="false" customHeight="false" outlineLevel="0" collapsed="false">
      <c r="A20" s="0" t="s">
        <v>1516</v>
      </c>
      <c r="B20" s="0" t="s">
        <v>13</v>
      </c>
      <c r="C20" s="0" t="str">
        <f aca="false">"200-211"</f>
        <v>200-211</v>
      </c>
      <c r="D20" s="0" t="s">
        <v>13</v>
      </c>
      <c r="E20" s="0" t="str">
        <f aca="false">"245-256"</f>
        <v>245-256</v>
      </c>
      <c r="F20" s="0" t="s">
        <v>1535</v>
      </c>
      <c r="G20" s="0" t="s">
        <v>9</v>
      </c>
      <c r="H20" s="0" t="str">
        <f aca="false">"398-409"</f>
        <v>398-409</v>
      </c>
      <c r="I20" s="0" t="s">
        <v>9</v>
      </c>
      <c r="J20" s="0" t="str">
        <f aca="false">"111-122"</f>
        <v>111-122</v>
      </c>
      <c r="K20" s="0" t="str">
        <f aca="false">"0.79"</f>
        <v>0.79</v>
      </c>
      <c r="L20" s="0" t="str">
        <f aca="false">"9.35"</f>
        <v>9.35</v>
      </c>
      <c r="M20" s="0" t="str">
        <f aca="false">"-38.5"</f>
        <v>-38.5</v>
      </c>
    </row>
    <row r="21" customFormat="false" ht="12.8" hidden="false" customHeight="false" outlineLevel="0" collapsed="false">
      <c r="A21" s="0" t="s">
        <v>1516</v>
      </c>
      <c r="B21" s="0" t="s">
        <v>13</v>
      </c>
      <c r="C21" s="0" t="str">
        <f aca="false">"204-215"</f>
        <v>204-215</v>
      </c>
      <c r="D21" s="0" t="s">
        <v>13</v>
      </c>
      <c r="E21" s="0" t="str">
        <f aca="false">"252-263"</f>
        <v>252-263</v>
      </c>
      <c r="F21" s="0" t="s">
        <v>1536</v>
      </c>
      <c r="G21" s="0" t="s">
        <v>9</v>
      </c>
      <c r="H21" s="0" t="str">
        <f aca="false">"368-379"</f>
        <v>368-379</v>
      </c>
      <c r="I21" s="0" t="s">
        <v>9</v>
      </c>
      <c r="J21" s="0" t="str">
        <f aca="false">"129-140"</f>
        <v>129-140</v>
      </c>
      <c r="K21" s="0" t="str">
        <f aca="false">"1.01"</f>
        <v>1.01</v>
      </c>
      <c r="L21" s="0" t="str">
        <f aca="false">"9.66"</f>
        <v>9.66</v>
      </c>
      <c r="M21" s="0" t="str">
        <f aca="false">"-33.9"</f>
        <v>-33.9</v>
      </c>
    </row>
    <row r="22" customFormat="false" ht="12.8" hidden="false" customHeight="false" outlineLevel="0" collapsed="false">
      <c r="A22" s="0" t="s">
        <v>1516</v>
      </c>
      <c r="B22" s="0" t="s">
        <v>13</v>
      </c>
      <c r="C22" s="0" t="str">
        <f aca="false">"200-211"</f>
        <v>200-211</v>
      </c>
      <c r="D22" s="0" t="s">
        <v>13</v>
      </c>
      <c r="E22" s="0" t="str">
        <f aca="false">"245-256"</f>
        <v>245-256</v>
      </c>
      <c r="F22" s="0" t="s">
        <v>1537</v>
      </c>
      <c r="G22" s="0" t="s">
        <v>9</v>
      </c>
      <c r="H22" s="0" t="str">
        <f aca="false">"107-118"</f>
        <v>107-118</v>
      </c>
      <c r="I22" s="0" t="s">
        <v>9</v>
      </c>
      <c r="J22" s="0" t="str">
        <f aca="false">"19-30"</f>
        <v>19-30</v>
      </c>
      <c r="K22" s="0" t="str">
        <f aca="false">"0.96"</f>
        <v>0.96</v>
      </c>
      <c r="L22" s="0" t="str">
        <f aca="false">"9.55"</f>
        <v>9.55</v>
      </c>
      <c r="M22" s="0" t="str">
        <f aca="false">"-56.8"</f>
        <v>-56.8</v>
      </c>
    </row>
    <row r="23" customFormat="false" ht="12.8" hidden="false" customHeight="false" outlineLevel="0" collapsed="false">
      <c r="A23" s="0" t="s">
        <v>1516</v>
      </c>
      <c r="B23" s="0" t="s">
        <v>13</v>
      </c>
      <c r="C23" s="0" t="str">
        <f aca="false">"200-211"</f>
        <v>200-211</v>
      </c>
      <c r="D23" s="0" t="s">
        <v>13</v>
      </c>
      <c r="E23" s="0" t="str">
        <f aca="false">"245-256"</f>
        <v>245-256</v>
      </c>
      <c r="F23" s="0" t="s">
        <v>1538</v>
      </c>
      <c r="G23" s="0" t="s">
        <v>9</v>
      </c>
      <c r="H23" s="0" t="str">
        <f aca="false">"202-213"</f>
        <v>202-213</v>
      </c>
      <c r="I23" s="0" t="s">
        <v>9</v>
      </c>
      <c r="J23" s="0" t="str">
        <f aca="false">"112-123"</f>
        <v>112-123</v>
      </c>
      <c r="K23" s="0" t="str">
        <f aca="false">"0.81"</f>
        <v>0.81</v>
      </c>
      <c r="L23" s="0" t="str">
        <f aca="false">"9.72"</f>
        <v>9.72</v>
      </c>
      <c r="M23" s="0" t="str">
        <f aca="false">"-48.0"</f>
        <v>-48.0</v>
      </c>
    </row>
    <row r="24" customFormat="false" ht="12.8" hidden="false" customHeight="false" outlineLevel="0" collapsed="false">
      <c r="A24" s="0" t="s">
        <v>1516</v>
      </c>
      <c r="B24" s="0" t="s">
        <v>13</v>
      </c>
      <c r="C24" s="0" t="str">
        <f aca="false">"200-211"</f>
        <v>200-211</v>
      </c>
      <c r="D24" s="0" t="s">
        <v>13</v>
      </c>
      <c r="E24" s="0" t="str">
        <f aca="false">"245-256"</f>
        <v>245-256</v>
      </c>
      <c r="F24" s="0" t="s">
        <v>1539</v>
      </c>
      <c r="G24" s="0" t="s">
        <v>9</v>
      </c>
      <c r="H24" s="0" t="str">
        <f aca="false">"711-722"</f>
        <v>711-722</v>
      </c>
      <c r="I24" s="0" t="s">
        <v>9</v>
      </c>
      <c r="J24" s="0" t="str">
        <f aca="false">"680-691"</f>
        <v>680-691</v>
      </c>
      <c r="K24" s="0" t="str">
        <f aca="false">"0.89"</f>
        <v>0.89</v>
      </c>
      <c r="L24" s="0" t="str">
        <f aca="false">"8.79"</f>
        <v>8.79</v>
      </c>
      <c r="M24" s="0" t="str">
        <f aca="false">"-40.0"</f>
        <v>-40.0</v>
      </c>
    </row>
    <row r="25" customFormat="false" ht="12.8" hidden="false" customHeight="false" outlineLevel="0" collapsed="false">
      <c r="A25" s="0" t="s">
        <v>1516</v>
      </c>
      <c r="B25" s="0" t="s">
        <v>13</v>
      </c>
      <c r="C25" s="0" t="str">
        <f aca="false">"201-212"</f>
        <v>201-212</v>
      </c>
      <c r="D25" s="0" t="s">
        <v>13</v>
      </c>
      <c r="E25" s="0" t="str">
        <f aca="false">"246-257"</f>
        <v>246-257</v>
      </c>
      <c r="F25" s="0" t="s">
        <v>1540</v>
      </c>
      <c r="G25" s="0" t="s">
        <v>9</v>
      </c>
      <c r="H25" s="0" t="str">
        <f aca="false">"88-99"</f>
        <v>88-99</v>
      </c>
      <c r="I25" s="0" t="s">
        <v>9</v>
      </c>
      <c r="J25" s="0" t="str">
        <f aca="false">"140-151"</f>
        <v>140-151</v>
      </c>
      <c r="K25" s="0" t="str">
        <f aca="false">"1.08"</f>
        <v>1.08</v>
      </c>
      <c r="L25" s="0" t="str">
        <f aca="false">"9.31"</f>
        <v>9.31</v>
      </c>
      <c r="M25" s="0" t="str">
        <f aca="false">"-59.0"</f>
        <v>-59.0</v>
      </c>
    </row>
    <row r="26" customFormat="false" ht="12.8" hidden="false" customHeight="false" outlineLevel="0" collapsed="false">
      <c r="A26" s="0" t="s">
        <v>1516</v>
      </c>
      <c r="B26" s="0" t="s">
        <v>13</v>
      </c>
      <c r="C26" s="0" t="str">
        <f aca="false">"208-219"</f>
        <v>208-219</v>
      </c>
      <c r="D26" s="0" t="s">
        <v>13</v>
      </c>
      <c r="E26" s="0" t="str">
        <f aca="false">"253-264"</f>
        <v>253-264</v>
      </c>
      <c r="F26" s="0" t="s">
        <v>1541</v>
      </c>
      <c r="G26" s="0" t="s">
        <v>9</v>
      </c>
      <c r="H26" s="0" t="str">
        <f aca="false">"345-356"</f>
        <v>345-356</v>
      </c>
      <c r="I26" s="0" t="s">
        <v>9</v>
      </c>
      <c r="J26" s="0" t="str">
        <f aca="false">"306-317"</f>
        <v>306-317</v>
      </c>
      <c r="K26" s="0" t="str">
        <f aca="false">"1.11"</f>
        <v>1.11</v>
      </c>
      <c r="L26" s="0" t="str">
        <f aca="false">"10.13"</f>
        <v>10.13</v>
      </c>
      <c r="M26" s="0" t="str">
        <f aca="false">"-51.0"</f>
        <v>-51.0</v>
      </c>
    </row>
    <row r="27" customFormat="false" ht="12.8" hidden="false" customHeight="false" outlineLevel="0" collapsed="false">
      <c r="A27" s="0" t="s">
        <v>1516</v>
      </c>
      <c r="B27" s="0" t="s">
        <v>13</v>
      </c>
      <c r="C27" s="0" t="str">
        <f aca="false">"204-215"</f>
        <v>204-215</v>
      </c>
      <c r="D27" s="0" t="s">
        <v>13</v>
      </c>
      <c r="E27" s="0" t="str">
        <f aca="false">"252-263"</f>
        <v>252-263</v>
      </c>
      <c r="F27" s="0" t="s">
        <v>1542</v>
      </c>
      <c r="G27" s="0" t="s">
        <v>9</v>
      </c>
      <c r="H27" s="0" t="str">
        <f aca="false">"143-154"</f>
        <v>143-154</v>
      </c>
      <c r="I27" s="0" t="s">
        <v>9</v>
      </c>
      <c r="J27" s="0" t="str">
        <f aca="false">"444-455"</f>
        <v>444-455</v>
      </c>
      <c r="K27" s="0" t="str">
        <f aca="false">"1.19"</f>
        <v>1.19</v>
      </c>
      <c r="L27" s="0" t="str">
        <f aca="false">"9.60"</f>
        <v>9.60</v>
      </c>
      <c r="M27" s="0" t="str">
        <f aca="false">"-30.7"</f>
        <v>-30.7</v>
      </c>
    </row>
    <row r="28" customFormat="false" ht="12.8" hidden="false" customHeight="false" outlineLevel="0" collapsed="false">
      <c r="A28" s="0" t="s">
        <v>1516</v>
      </c>
      <c r="B28" s="0" t="s">
        <v>13</v>
      </c>
      <c r="C28" s="0" t="str">
        <f aca="false">"204-215"</f>
        <v>204-215</v>
      </c>
      <c r="D28" s="0" t="s">
        <v>13</v>
      </c>
      <c r="E28" s="0" t="str">
        <f aca="false">"249-260"</f>
        <v>249-260</v>
      </c>
      <c r="F28" s="0" t="s">
        <v>1543</v>
      </c>
      <c r="G28" s="0" t="s">
        <v>9</v>
      </c>
      <c r="H28" s="0" t="str">
        <f aca="false">"476-487"</f>
        <v>476-487</v>
      </c>
      <c r="I28" s="0" t="s">
        <v>9</v>
      </c>
      <c r="J28" s="0" t="str">
        <f aca="false">"240-251"</f>
        <v>240-251</v>
      </c>
      <c r="K28" s="0" t="str">
        <f aca="false">"0.70"</f>
        <v>0.70</v>
      </c>
      <c r="L28" s="0" t="str">
        <f aca="false">"8.67"</f>
        <v>8.67</v>
      </c>
      <c r="M28" s="0" t="str">
        <f aca="false">"-46.6"</f>
        <v>-46.6</v>
      </c>
    </row>
    <row r="29" customFormat="false" ht="12.8" hidden="false" customHeight="false" outlineLevel="0" collapsed="false">
      <c r="A29" s="0" t="s">
        <v>1516</v>
      </c>
      <c r="B29" s="0" t="s">
        <v>13</v>
      </c>
      <c r="C29" s="0" t="str">
        <f aca="false">"200-211"</f>
        <v>200-211</v>
      </c>
      <c r="D29" s="0" t="s">
        <v>13</v>
      </c>
      <c r="E29" s="0" t="str">
        <f aca="false">"245-256"</f>
        <v>245-256</v>
      </c>
      <c r="F29" s="0" t="s">
        <v>1544</v>
      </c>
      <c r="G29" s="0" t="s">
        <v>9</v>
      </c>
      <c r="H29" s="0" t="str">
        <f aca="false">"367-378"</f>
        <v>367-378</v>
      </c>
      <c r="I29" s="0" t="s">
        <v>9</v>
      </c>
      <c r="J29" s="0" t="str">
        <f aca="false">"422-433"</f>
        <v>422-433</v>
      </c>
      <c r="K29" s="0" t="str">
        <f aca="false">"0.89"</f>
        <v>0.89</v>
      </c>
      <c r="L29" s="0" t="str">
        <f aca="false">"8.59"</f>
        <v>8.59</v>
      </c>
      <c r="M29" s="0" t="str">
        <f aca="false">"-40.0"</f>
        <v>-40.0</v>
      </c>
    </row>
    <row r="30" customFormat="false" ht="12.8" hidden="false" customHeight="false" outlineLevel="0" collapsed="false">
      <c r="A30" s="0" t="s">
        <v>1516</v>
      </c>
      <c r="B30" s="0" t="s">
        <v>13</v>
      </c>
      <c r="C30" s="0" t="str">
        <f aca="false">"200-211"</f>
        <v>200-211</v>
      </c>
      <c r="D30" s="0" t="s">
        <v>13</v>
      </c>
      <c r="E30" s="0" t="str">
        <f aca="false">"245-256"</f>
        <v>245-256</v>
      </c>
      <c r="F30" s="0" t="s">
        <v>1545</v>
      </c>
      <c r="G30" s="0" t="s">
        <v>9</v>
      </c>
      <c r="H30" s="0" t="str">
        <f aca="false">"57-68"</f>
        <v>57-68</v>
      </c>
      <c r="I30" s="0" t="s">
        <v>13</v>
      </c>
      <c r="J30" s="0" t="str">
        <f aca="false">"57-68"</f>
        <v>57-68</v>
      </c>
      <c r="K30" s="0" t="str">
        <f aca="false">"0.95"</f>
        <v>0.95</v>
      </c>
      <c r="L30" s="0" t="str">
        <f aca="false">"8.65"</f>
        <v>8.65</v>
      </c>
      <c r="M30" s="0" t="str">
        <f aca="false">"-45.3"</f>
        <v>-45.3</v>
      </c>
    </row>
    <row r="31" customFormat="false" ht="12.8" hidden="false" customHeight="false" outlineLevel="0" collapsed="false">
      <c r="A31" s="0" t="s">
        <v>1516</v>
      </c>
      <c r="B31" s="0" t="s">
        <v>13</v>
      </c>
      <c r="C31" s="0" t="str">
        <f aca="false">"208-219"</f>
        <v>208-219</v>
      </c>
      <c r="D31" s="0" t="s">
        <v>13</v>
      </c>
      <c r="E31" s="0" t="str">
        <f aca="false">"253-264"</f>
        <v>253-264</v>
      </c>
      <c r="F31" s="0" t="s">
        <v>1546</v>
      </c>
      <c r="G31" s="0" t="s">
        <v>120</v>
      </c>
      <c r="H31" s="0" t="str">
        <f aca="false">"328-339"</f>
        <v>328-339</v>
      </c>
      <c r="I31" s="0" t="s">
        <v>120</v>
      </c>
      <c r="J31" s="0" t="str">
        <f aca="false">"292-303"</f>
        <v>292-303</v>
      </c>
      <c r="K31" s="0" t="str">
        <f aca="false">"1.23"</f>
        <v>1.23</v>
      </c>
      <c r="L31" s="0" t="str">
        <f aca="false">"9.93"</f>
        <v>9.93</v>
      </c>
      <c r="M31" s="0" t="str">
        <f aca="false">"-31.2"</f>
        <v>-31.2</v>
      </c>
    </row>
    <row r="32" customFormat="false" ht="12.8" hidden="false" customHeight="false" outlineLevel="0" collapsed="false">
      <c r="A32" s="0" t="s">
        <v>1516</v>
      </c>
      <c r="B32" s="0" t="s">
        <v>13</v>
      </c>
      <c r="C32" s="0" t="str">
        <f aca="false">"200-211"</f>
        <v>200-211</v>
      </c>
      <c r="D32" s="0" t="s">
        <v>13</v>
      </c>
      <c r="E32" s="0" t="str">
        <f aca="false">"245-256"</f>
        <v>245-256</v>
      </c>
      <c r="F32" s="0" t="s">
        <v>1547</v>
      </c>
      <c r="G32" s="0" t="s">
        <v>9</v>
      </c>
      <c r="H32" s="0" t="str">
        <f aca="false">"79-90"</f>
        <v>79-90</v>
      </c>
      <c r="I32" s="0" t="s">
        <v>9</v>
      </c>
      <c r="J32" s="0" t="str">
        <f aca="false">"132-143"</f>
        <v>132-143</v>
      </c>
      <c r="K32" s="0" t="str">
        <f aca="false">"1.06"</f>
        <v>1.06</v>
      </c>
      <c r="L32" s="0" t="str">
        <f aca="false">"8.76"</f>
        <v>8.76</v>
      </c>
      <c r="M32" s="0" t="str">
        <f aca="false">"-52.9"</f>
        <v>-52.9</v>
      </c>
    </row>
    <row r="33" customFormat="false" ht="12.8" hidden="false" customHeight="false" outlineLevel="0" collapsed="false">
      <c r="A33" s="0" t="s">
        <v>1516</v>
      </c>
      <c r="B33" s="0" t="s">
        <v>13</v>
      </c>
      <c r="C33" s="0" t="str">
        <f aca="false">"208-219"</f>
        <v>208-219</v>
      </c>
      <c r="D33" s="0" t="s">
        <v>13</v>
      </c>
      <c r="E33" s="0" t="str">
        <f aca="false">"254-265"</f>
        <v>254-265</v>
      </c>
      <c r="F33" s="0" t="s">
        <v>1548</v>
      </c>
      <c r="G33" s="0" t="s">
        <v>9</v>
      </c>
      <c r="H33" s="0" t="str">
        <f aca="false">"114-125"</f>
        <v>114-125</v>
      </c>
      <c r="I33" s="0" t="s">
        <v>9</v>
      </c>
      <c r="J33" s="0" t="str">
        <f aca="false">"355-366"</f>
        <v>355-366</v>
      </c>
      <c r="K33" s="0" t="str">
        <f aca="false">"1.02"</f>
        <v>1.02</v>
      </c>
      <c r="L33" s="0" t="str">
        <f aca="false">"10.04"</f>
        <v>10.04</v>
      </c>
      <c r="M33" s="0" t="str">
        <f aca="false">"-32.9"</f>
        <v>-32.9</v>
      </c>
    </row>
    <row r="34" customFormat="false" ht="12.8" hidden="false" customHeight="false" outlineLevel="0" collapsed="false">
      <c r="A34" s="0" t="s">
        <v>1516</v>
      </c>
      <c r="B34" s="0" t="s">
        <v>13</v>
      </c>
      <c r="C34" s="0" t="str">
        <f aca="false">"203-214"</f>
        <v>203-214</v>
      </c>
      <c r="D34" s="0" t="s">
        <v>13</v>
      </c>
      <c r="E34" s="0" t="str">
        <f aca="false">"249-260"</f>
        <v>249-260</v>
      </c>
      <c r="F34" s="0" t="s">
        <v>1549</v>
      </c>
      <c r="G34" s="0" t="s">
        <v>9</v>
      </c>
      <c r="H34" s="0" t="str">
        <f aca="false">"233-244"</f>
        <v>233-244</v>
      </c>
      <c r="I34" s="0" t="s">
        <v>9</v>
      </c>
      <c r="J34" s="0" t="str">
        <f aca="false">"186-197"</f>
        <v>186-197</v>
      </c>
      <c r="K34" s="0" t="str">
        <f aca="false">"0.88"</f>
        <v>0.88</v>
      </c>
      <c r="L34" s="0" t="str">
        <f aca="false">"8.67"</f>
        <v>8.67</v>
      </c>
      <c r="M34" s="0" t="str">
        <f aca="false">"-46.4"</f>
        <v>-46.4</v>
      </c>
    </row>
    <row r="35" customFormat="false" ht="12.8" hidden="false" customHeight="false" outlineLevel="0" collapsed="false">
      <c r="A35" s="0" t="s">
        <v>1516</v>
      </c>
      <c r="B35" s="0" t="s">
        <v>13</v>
      </c>
      <c r="C35" s="0" t="str">
        <f aca="false">"200-211"</f>
        <v>200-211</v>
      </c>
      <c r="D35" s="0" t="s">
        <v>13</v>
      </c>
      <c r="E35" s="0" t="str">
        <f aca="false">"245-256"</f>
        <v>245-256</v>
      </c>
      <c r="F35" s="0" t="s">
        <v>1550</v>
      </c>
      <c r="G35" s="0" t="s">
        <v>9</v>
      </c>
      <c r="H35" s="0" t="str">
        <f aca="false">"398-409"</f>
        <v>398-409</v>
      </c>
      <c r="I35" s="0" t="s">
        <v>9</v>
      </c>
      <c r="J35" s="0" t="str">
        <f aca="false">"209-220"</f>
        <v>209-220</v>
      </c>
      <c r="K35" s="0" t="str">
        <f aca="false">"0.67"</f>
        <v>0.67</v>
      </c>
      <c r="L35" s="0" t="str">
        <f aca="false">"8.92"</f>
        <v>8.92</v>
      </c>
      <c r="M35" s="0" t="str">
        <f aca="false">"-43.6"</f>
        <v>-43.6</v>
      </c>
    </row>
    <row r="36" customFormat="false" ht="12.8" hidden="false" customHeight="false" outlineLevel="0" collapsed="false">
      <c r="A36" s="0" t="s">
        <v>1516</v>
      </c>
      <c r="B36" s="0" t="s">
        <v>13</v>
      </c>
      <c r="C36" s="0" t="str">
        <f aca="false">"200-211"</f>
        <v>200-211</v>
      </c>
      <c r="D36" s="0" t="s">
        <v>13</v>
      </c>
      <c r="E36" s="0" t="str">
        <f aca="false">"245-256"</f>
        <v>245-256</v>
      </c>
      <c r="F36" s="0" t="s">
        <v>1551</v>
      </c>
      <c r="G36" s="0" t="s">
        <v>9</v>
      </c>
      <c r="H36" s="0" t="str">
        <f aca="false">"926-937"</f>
        <v>926-937</v>
      </c>
      <c r="I36" s="0" t="s">
        <v>9</v>
      </c>
      <c r="J36" s="0" t="str">
        <f aca="false">"1005-1016"</f>
        <v>1005-1016</v>
      </c>
      <c r="K36" s="0" t="str">
        <f aca="false">"0.66"</f>
        <v>0.66</v>
      </c>
      <c r="L36" s="0" t="str">
        <f aca="false">"9.14"</f>
        <v>9.14</v>
      </c>
      <c r="M36" s="0" t="str">
        <f aca="false">"-40.1"</f>
        <v>-40.1</v>
      </c>
    </row>
    <row r="37" customFormat="false" ht="12.8" hidden="false" customHeight="false" outlineLevel="0" collapsed="false">
      <c r="A37" s="0" t="s">
        <v>1516</v>
      </c>
      <c r="B37" s="0" t="s">
        <v>13</v>
      </c>
      <c r="C37" s="0" t="str">
        <f aca="false">"200-211"</f>
        <v>200-211</v>
      </c>
      <c r="D37" s="0" t="s">
        <v>13</v>
      </c>
      <c r="E37" s="0" t="str">
        <f aca="false">"245-256"</f>
        <v>245-256</v>
      </c>
      <c r="F37" s="0" t="s">
        <v>1552</v>
      </c>
      <c r="G37" s="0" t="s">
        <v>120</v>
      </c>
      <c r="H37" s="0" t="str">
        <f aca="false">"141-152"</f>
        <v>141-152</v>
      </c>
      <c r="I37" s="0" t="s">
        <v>120</v>
      </c>
      <c r="J37" s="0" t="str">
        <f aca="false">"172-183"</f>
        <v>172-183</v>
      </c>
      <c r="K37" s="0" t="str">
        <f aca="false">"1.03"</f>
        <v>1.03</v>
      </c>
      <c r="L37" s="0" t="str">
        <f aca="false">"8.35"</f>
        <v>8.35</v>
      </c>
      <c r="M37" s="0" t="str">
        <f aca="false">"-45.7"</f>
        <v>-45.7</v>
      </c>
    </row>
    <row r="38" customFormat="false" ht="12.8" hidden="false" customHeight="false" outlineLevel="0" collapsed="false">
      <c r="A38" s="0" t="s">
        <v>1516</v>
      </c>
      <c r="B38" s="0" t="s">
        <v>13</v>
      </c>
      <c r="C38" s="0" t="str">
        <f aca="false">"204-215"</f>
        <v>204-215</v>
      </c>
      <c r="D38" s="0" t="s">
        <v>13</v>
      </c>
      <c r="E38" s="0" t="str">
        <f aca="false">"249-260"</f>
        <v>249-260</v>
      </c>
      <c r="F38" s="0" t="s">
        <v>1553</v>
      </c>
      <c r="G38" s="0" t="s">
        <v>9</v>
      </c>
      <c r="H38" s="0" t="str">
        <f aca="false">"661-672"</f>
        <v>661-672</v>
      </c>
      <c r="I38" s="0" t="s">
        <v>9</v>
      </c>
      <c r="J38" s="0" t="str">
        <f aca="false">"596-607"</f>
        <v>596-607</v>
      </c>
      <c r="K38" s="0" t="str">
        <f aca="false">"0.83"</f>
        <v>0.83</v>
      </c>
      <c r="L38" s="0" t="str">
        <f aca="false">"8.86"</f>
        <v>8.86</v>
      </c>
      <c r="M38" s="0" t="str">
        <f aca="false">"-45.1"</f>
        <v>-45.1</v>
      </c>
    </row>
    <row r="39" customFormat="false" ht="12.8" hidden="false" customHeight="false" outlineLevel="0" collapsed="false">
      <c r="A39" s="0" t="s">
        <v>1516</v>
      </c>
      <c r="B39" s="0" t="s">
        <v>13</v>
      </c>
      <c r="C39" s="0" t="str">
        <f aca="false">"203-214"</f>
        <v>203-214</v>
      </c>
      <c r="D39" s="0" t="s">
        <v>13</v>
      </c>
      <c r="E39" s="0" t="str">
        <f aca="false">"249-260"</f>
        <v>249-260</v>
      </c>
      <c r="F39" s="0" t="s">
        <v>1554</v>
      </c>
      <c r="G39" s="0" t="s">
        <v>9</v>
      </c>
      <c r="H39" s="0" t="str">
        <f aca="false">"325-336"</f>
        <v>325-336</v>
      </c>
      <c r="I39" s="0" t="s">
        <v>9</v>
      </c>
      <c r="J39" s="0" t="str">
        <f aca="false">"96-107"</f>
        <v>96-107</v>
      </c>
      <c r="K39" s="0" t="str">
        <f aca="false">"1.04"</f>
        <v>1.04</v>
      </c>
      <c r="L39" s="0" t="str">
        <f aca="false">"9.45"</f>
        <v>9.45</v>
      </c>
      <c r="M39" s="0" t="str">
        <f aca="false">"-43.8"</f>
        <v>-43.8</v>
      </c>
    </row>
    <row r="40" customFormat="false" ht="12.8" hidden="false" customHeight="false" outlineLevel="0" collapsed="false">
      <c r="A40" s="0" t="s">
        <v>1516</v>
      </c>
      <c r="B40" s="0" t="s">
        <v>13</v>
      </c>
      <c r="C40" s="0" t="str">
        <f aca="false">"200-211"</f>
        <v>200-211</v>
      </c>
      <c r="D40" s="0" t="s">
        <v>13</v>
      </c>
      <c r="E40" s="0" t="str">
        <f aca="false">"245-256"</f>
        <v>245-256</v>
      </c>
      <c r="F40" s="0" t="s">
        <v>1555</v>
      </c>
      <c r="G40" s="0" t="s">
        <v>13</v>
      </c>
      <c r="H40" s="0" t="str">
        <f aca="false">"821-832"</f>
        <v>821-832</v>
      </c>
      <c r="I40" s="0" t="s">
        <v>13</v>
      </c>
      <c r="J40" s="0" t="str">
        <f aca="false">"870-881"</f>
        <v>870-881</v>
      </c>
      <c r="K40" s="0" t="str">
        <f aca="false">"1.14"</f>
        <v>1.14</v>
      </c>
      <c r="L40" s="0" t="str">
        <f aca="false">"8.93"</f>
        <v>8.93</v>
      </c>
      <c r="M40" s="0" t="str">
        <f aca="false">"-40.0"</f>
        <v>-40.0</v>
      </c>
    </row>
    <row r="41" customFormat="false" ht="12.8" hidden="false" customHeight="false" outlineLevel="0" collapsed="false">
      <c r="A41" s="0" t="s">
        <v>1516</v>
      </c>
      <c r="B41" s="0" t="s">
        <v>13</v>
      </c>
      <c r="C41" s="0" t="str">
        <f aca="false">"204-215"</f>
        <v>204-215</v>
      </c>
      <c r="D41" s="0" t="s">
        <v>13</v>
      </c>
      <c r="E41" s="0" t="str">
        <f aca="false">"249-260"</f>
        <v>249-260</v>
      </c>
      <c r="F41" s="0" t="s">
        <v>1556</v>
      </c>
      <c r="G41" s="0" t="s">
        <v>9</v>
      </c>
      <c r="H41" s="0" t="str">
        <f aca="false">"11-22"</f>
        <v>11-22</v>
      </c>
      <c r="I41" s="0" t="s">
        <v>9</v>
      </c>
      <c r="J41" s="0" t="str">
        <f aca="false">"139-150"</f>
        <v>139-150</v>
      </c>
      <c r="K41" s="0" t="str">
        <f aca="false">"0.66"</f>
        <v>0.66</v>
      </c>
      <c r="L41" s="0" t="str">
        <f aca="false">"8.83"</f>
        <v>8.83</v>
      </c>
      <c r="M41" s="0" t="str">
        <f aca="false">"-43.3"</f>
        <v>-43.3</v>
      </c>
    </row>
    <row r="42" customFormat="false" ht="12.8" hidden="false" customHeight="false" outlineLevel="0" collapsed="false">
      <c r="A42" s="0" t="s">
        <v>1516</v>
      </c>
      <c r="B42" s="0" t="s">
        <v>13</v>
      </c>
      <c r="C42" s="0" t="str">
        <f aca="false">"204-215"</f>
        <v>204-215</v>
      </c>
      <c r="D42" s="0" t="s">
        <v>13</v>
      </c>
      <c r="E42" s="0" t="str">
        <f aca="false">"249-260"</f>
        <v>249-260</v>
      </c>
      <c r="F42" s="0" t="s">
        <v>1557</v>
      </c>
      <c r="G42" s="0" t="s">
        <v>9</v>
      </c>
      <c r="H42" s="0" t="str">
        <f aca="false">"472-483"</f>
        <v>472-483</v>
      </c>
      <c r="I42" s="0" t="s">
        <v>9</v>
      </c>
      <c r="J42" s="0" t="str">
        <f aca="false">"383-394"</f>
        <v>383-394</v>
      </c>
      <c r="K42" s="0" t="str">
        <f aca="false">"0.77"</f>
        <v>0.77</v>
      </c>
      <c r="L42" s="0" t="str">
        <f aca="false">"8.09"</f>
        <v>8.09</v>
      </c>
      <c r="M42" s="0" t="str">
        <f aca="false">"-39.0"</f>
        <v>-39.0</v>
      </c>
    </row>
    <row r="43" customFormat="false" ht="12.8" hidden="false" customHeight="false" outlineLevel="0" collapsed="false">
      <c r="A43" s="0" t="s">
        <v>1516</v>
      </c>
      <c r="B43" s="0" t="s">
        <v>13</v>
      </c>
      <c r="C43" s="0" t="str">
        <f aca="false">"200-211"</f>
        <v>200-211</v>
      </c>
      <c r="D43" s="0" t="s">
        <v>13</v>
      </c>
      <c r="E43" s="0" t="str">
        <f aca="false">"245-256"</f>
        <v>245-256</v>
      </c>
      <c r="F43" s="0" t="s">
        <v>1558</v>
      </c>
      <c r="G43" s="0" t="s">
        <v>9</v>
      </c>
      <c r="H43" s="0" t="str">
        <f aca="false">"43-54"</f>
        <v>43-54</v>
      </c>
      <c r="I43" s="0" t="s">
        <v>13</v>
      </c>
      <c r="J43" s="0" t="str">
        <f aca="false">"43-54"</f>
        <v>43-54</v>
      </c>
      <c r="K43" s="0" t="str">
        <f aca="false">"0.98"</f>
        <v>0.98</v>
      </c>
      <c r="L43" s="0" t="str">
        <f aca="false">"8.35"</f>
        <v>8.35</v>
      </c>
      <c r="M43" s="0" t="str">
        <f aca="false">"-45.9"</f>
        <v>-45.9</v>
      </c>
    </row>
    <row r="44" customFormat="false" ht="12.8" hidden="false" customHeight="false" outlineLevel="0" collapsed="false">
      <c r="A44" s="0" t="s">
        <v>1516</v>
      </c>
      <c r="B44" s="0" t="s">
        <v>13</v>
      </c>
      <c r="C44" s="0" t="str">
        <f aca="false">"200-211"</f>
        <v>200-211</v>
      </c>
      <c r="D44" s="0" t="s">
        <v>13</v>
      </c>
      <c r="E44" s="0" t="str">
        <f aca="false">"245-256"</f>
        <v>245-256</v>
      </c>
      <c r="F44" s="0" t="s">
        <v>1559</v>
      </c>
      <c r="G44" s="0" t="s">
        <v>120</v>
      </c>
      <c r="H44" s="0" t="str">
        <f aca="false">"34-45"</f>
        <v>34-45</v>
      </c>
      <c r="I44" s="0" t="s">
        <v>120</v>
      </c>
      <c r="J44" s="0" t="str">
        <f aca="false">"116-127"</f>
        <v>116-127</v>
      </c>
      <c r="K44" s="0" t="str">
        <f aca="false">"1.15"</f>
        <v>1.15</v>
      </c>
      <c r="L44" s="0" t="str">
        <f aca="false">"8.78"</f>
        <v>8.78</v>
      </c>
      <c r="M44" s="0" t="str">
        <f aca="false">"-36.8"</f>
        <v>-36.8</v>
      </c>
    </row>
    <row r="45" customFormat="false" ht="12.8" hidden="false" customHeight="false" outlineLevel="0" collapsed="false">
      <c r="A45" s="0" t="s">
        <v>1516</v>
      </c>
      <c r="B45" s="0" t="s">
        <v>13</v>
      </c>
      <c r="C45" s="0" t="str">
        <f aca="false">"207-218"</f>
        <v>207-218</v>
      </c>
      <c r="D45" s="0" t="s">
        <v>13</v>
      </c>
      <c r="E45" s="0" t="str">
        <f aca="false">"252-263"</f>
        <v>252-263</v>
      </c>
      <c r="F45" s="0" t="s">
        <v>1560</v>
      </c>
      <c r="G45" s="0" t="s">
        <v>13</v>
      </c>
      <c r="H45" s="0" t="str">
        <f aca="false">"50-61"</f>
        <v>50-61</v>
      </c>
      <c r="I45" s="0" t="s">
        <v>9</v>
      </c>
      <c r="J45" s="0" t="str">
        <f aca="false">"34-45"</f>
        <v>34-45</v>
      </c>
      <c r="K45" s="0" t="str">
        <f aca="false">"0.71"</f>
        <v>0.71</v>
      </c>
      <c r="L45" s="0" t="str">
        <f aca="false">"9.00"</f>
        <v>9.00</v>
      </c>
      <c r="M45" s="0" t="str">
        <f aca="false">"-39.8"</f>
        <v>-39.8</v>
      </c>
    </row>
    <row r="46" customFormat="false" ht="12.8" hidden="false" customHeight="false" outlineLevel="0" collapsed="false">
      <c r="A46" s="0" t="s">
        <v>1516</v>
      </c>
      <c r="B46" s="0" t="s">
        <v>13</v>
      </c>
      <c r="C46" s="0" t="str">
        <f aca="false">"204-215"</f>
        <v>204-215</v>
      </c>
      <c r="D46" s="0" t="s">
        <v>13</v>
      </c>
      <c r="E46" s="0" t="str">
        <f aca="false">"249-260"</f>
        <v>249-260</v>
      </c>
      <c r="F46" s="0" t="s">
        <v>1561</v>
      </c>
      <c r="G46" s="0" t="s">
        <v>70</v>
      </c>
      <c r="H46" s="0" t="str">
        <f aca="false">"133-144"</f>
        <v>133-144</v>
      </c>
      <c r="I46" s="0" t="s">
        <v>24</v>
      </c>
      <c r="J46" s="0" t="str">
        <f aca="false">"198-209"</f>
        <v>198-209</v>
      </c>
      <c r="K46" s="0" t="str">
        <f aca="false">"1.01"</f>
        <v>1.01</v>
      </c>
      <c r="L46" s="0" t="str">
        <f aca="false">"8.66"</f>
        <v>8.66</v>
      </c>
      <c r="M46" s="0" t="str">
        <f aca="false">"-50.0"</f>
        <v>-50.0</v>
      </c>
    </row>
    <row r="47" customFormat="false" ht="12.8" hidden="false" customHeight="false" outlineLevel="0" collapsed="false">
      <c r="A47" s="0" t="s">
        <v>1516</v>
      </c>
      <c r="B47" s="0" t="s">
        <v>13</v>
      </c>
      <c r="C47" s="0" t="str">
        <f aca="false">"204-215"</f>
        <v>204-215</v>
      </c>
      <c r="D47" s="0" t="s">
        <v>13</v>
      </c>
      <c r="E47" s="0" t="str">
        <f aca="false">"249-260"</f>
        <v>249-260</v>
      </c>
      <c r="F47" s="0" t="s">
        <v>1562</v>
      </c>
      <c r="G47" s="0" t="s">
        <v>13</v>
      </c>
      <c r="H47" s="0" t="str">
        <f aca="false">"67-78"</f>
        <v>67-78</v>
      </c>
      <c r="I47" s="0" t="s">
        <v>9</v>
      </c>
      <c r="J47" s="0" t="str">
        <f aca="false">"32-43"</f>
        <v>32-43</v>
      </c>
      <c r="K47" s="0" t="str">
        <f aca="false">"1.23"</f>
        <v>1.23</v>
      </c>
      <c r="L47" s="0" t="str">
        <f aca="false">"8.26"</f>
        <v>8.26</v>
      </c>
      <c r="M47" s="0" t="str">
        <f aca="false">"-45.7"</f>
        <v>-45.7</v>
      </c>
    </row>
    <row r="48" customFormat="false" ht="12.8" hidden="false" customHeight="false" outlineLevel="0" collapsed="false">
      <c r="A48" s="0" t="s">
        <v>1516</v>
      </c>
      <c r="B48" s="0" t="s">
        <v>13</v>
      </c>
      <c r="C48" s="0" t="str">
        <f aca="false">"200-211"</f>
        <v>200-211</v>
      </c>
      <c r="D48" s="0" t="s">
        <v>13</v>
      </c>
      <c r="E48" s="0" t="str">
        <f aca="false">"245-256"</f>
        <v>245-256</v>
      </c>
      <c r="F48" s="0" t="s">
        <v>1563</v>
      </c>
      <c r="G48" s="0" t="s">
        <v>9</v>
      </c>
      <c r="H48" s="0" t="str">
        <f aca="false">"411-422"</f>
        <v>411-422</v>
      </c>
      <c r="I48" s="0" t="s">
        <v>9</v>
      </c>
      <c r="J48" s="0" t="str">
        <f aca="false">"448-459"</f>
        <v>448-459</v>
      </c>
      <c r="K48" s="0" t="str">
        <f aca="false">"0.69"</f>
        <v>0.69</v>
      </c>
      <c r="L48" s="0" t="str">
        <f aca="false">"8.82"</f>
        <v>8.82</v>
      </c>
      <c r="M48" s="0" t="str">
        <f aca="false">"-45.6"</f>
        <v>-45.6</v>
      </c>
    </row>
    <row r="49" customFormat="false" ht="12.8" hidden="false" customHeight="false" outlineLevel="0" collapsed="false">
      <c r="A49" s="0" t="s">
        <v>1516</v>
      </c>
      <c r="B49" s="0" t="s">
        <v>13</v>
      </c>
      <c r="C49" s="0" t="str">
        <f aca="false">"200-211"</f>
        <v>200-211</v>
      </c>
      <c r="D49" s="0" t="s">
        <v>13</v>
      </c>
      <c r="E49" s="0" t="str">
        <f aca="false">"245-256"</f>
        <v>245-256</v>
      </c>
      <c r="F49" s="0" t="s">
        <v>1564</v>
      </c>
      <c r="G49" s="0" t="s">
        <v>13</v>
      </c>
      <c r="H49" s="0" t="str">
        <f aca="false">"330-341"</f>
        <v>330-341</v>
      </c>
      <c r="I49" s="0" t="s">
        <v>13</v>
      </c>
      <c r="J49" s="0" t="str">
        <f aca="false">"378-389"</f>
        <v>378-389</v>
      </c>
      <c r="K49" s="0" t="str">
        <f aca="false">"0.86"</f>
        <v>0.86</v>
      </c>
      <c r="L49" s="0" t="str">
        <f aca="false">"7.97"</f>
        <v>7.97</v>
      </c>
      <c r="M49" s="0" t="str">
        <f aca="false">"-43.1"</f>
        <v>-43.1</v>
      </c>
    </row>
    <row r="50" customFormat="false" ht="12.8" hidden="false" customHeight="false" outlineLevel="0" collapsed="false">
      <c r="A50" s="0" t="s">
        <v>1516</v>
      </c>
      <c r="B50" s="0" t="s">
        <v>13</v>
      </c>
      <c r="C50" s="0" t="str">
        <f aca="false">"201-212"</f>
        <v>201-212</v>
      </c>
      <c r="D50" s="0" t="s">
        <v>13</v>
      </c>
      <c r="E50" s="0" t="str">
        <f aca="false">"245-256"</f>
        <v>245-256</v>
      </c>
      <c r="F50" s="0" t="s">
        <v>1565</v>
      </c>
      <c r="G50" s="0" t="s">
        <v>9</v>
      </c>
      <c r="H50" s="0" t="str">
        <f aca="false">"104-115"</f>
        <v>104-115</v>
      </c>
      <c r="I50" s="0" t="s">
        <v>9</v>
      </c>
      <c r="J50" s="0" t="str">
        <f aca="false">"135-146"</f>
        <v>135-146</v>
      </c>
      <c r="K50" s="0" t="str">
        <f aca="false">"1.02"</f>
        <v>1.02</v>
      </c>
      <c r="L50" s="0" t="str">
        <f aca="false">"8.60"</f>
        <v>8.60</v>
      </c>
      <c r="M50" s="0" t="str">
        <f aca="false">"-35.8"</f>
        <v>-35.8</v>
      </c>
    </row>
    <row r="51" customFormat="false" ht="12.8" hidden="false" customHeight="false" outlineLevel="0" collapsed="false">
      <c r="A51" s="0" t="s">
        <v>1516</v>
      </c>
      <c r="B51" s="0" t="s">
        <v>13</v>
      </c>
      <c r="C51" s="0" t="str">
        <f aca="false">"204-215"</f>
        <v>204-215</v>
      </c>
      <c r="D51" s="0" t="s">
        <v>13</v>
      </c>
      <c r="E51" s="0" t="str">
        <f aca="false">"249-260"</f>
        <v>249-260</v>
      </c>
      <c r="F51" s="0" t="s">
        <v>1566</v>
      </c>
      <c r="G51" s="0" t="s">
        <v>9</v>
      </c>
      <c r="H51" s="0" t="str">
        <f aca="false">"642-653"</f>
        <v>642-653</v>
      </c>
      <c r="I51" s="0" t="s">
        <v>9</v>
      </c>
      <c r="J51" s="0" t="str">
        <f aca="false">"712-723"</f>
        <v>712-723</v>
      </c>
      <c r="K51" s="0" t="str">
        <f aca="false">"0.87"</f>
        <v>0.87</v>
      </c>
      <c r="L51" s="0" t="str">
        <f aca="false">"8.57"</f>
        <v>8.57</v>
      </c>
      <c r="M51" s="0" t="str">
        <f aca="false">"-44.6"</f>
        <v>-44.6</v>
      </c>
    </row>
    <row r="52" customFormat="false" ht="12.8" hidden="false" customHeight="false" outlineLevel="0" collapsed="false">
      <c r="A52" s="0" t="s">
        <v>1516</v>
      </c>
      <c r="B52" s="0" t="s">
        <v>13</v>
      </c>
      <c r="C52" s="0" t="str">
        <f aca="false">"204-215"</f>
        <v>204-215</v>
      </c>
      <c r="D52" s="0" t="s">
        <v>13</v>
      </c>
      <c r="E52" s="0" t="str">
        <f aca="false">"249-260"</f>
        <v>249-260</v>
      </c>
      <c r="F52" s="0" t="s">
        <v>1567</v>
      </c>
      <c r="G52" s="0" t="s">
        <v>13</v>
      </c>
      <c r="H52" s="0" t="str">
        <f aca="false">"122-133"</f>
        <v>122-133</v>
      </c>
      <c r="I52" s="0" t="s">
        <v>9</v>
      </c>
      <c r="J52" s="0" t="str">
        <f aca="false">"122-133"</f>
        <v>122-133</v>
      </c>
      <c r="K52" s="0" t="str">
        <f aca="false">"1.06"</f>
        <v>1.06</v>
      </c>
      <c r="L52" s="0" t="str">
        <f aca="false">"7.89"</f>
        <v>7.89</v>
      </c>
      <c r="M52" s="0" t="str">
        <f aca="false">"-41.7"</f>
        <v>-41.7</v>
      </c>
    </row>
    <row r="53" customFormat="false" ht="12.8" hidden="false" customHeight="false" outlineLevel="0" collapsed="false">
      <c r="A53" s="0" t="s">
        <v>1516</v>
      </c>
      <c r="B53" s="0" t="s">
        <v>13</v>
      </c>
      <c r="C53" s="0" t="str">
        <f aca="false">"203-214"</f>
        <v>203-214</v>
      </c>
      <c r="D53" s="0" t="s">
        <v>13</v>
      </c>
      <c r="E53" s="0" t="str">
        <f aca="false">"248-259"</f>
        <v>248-259</v>
      </c>
      <c r="F53" s="0" t="s">
        <v>1568</v>
      </c>
      <c r="G53" s="0" t="s">
        <v>9</v>
      </c>
      <c r="H53" s="0" t="str">
        <f aca="false">"45-56"</f>
        <v>45-56</v>
      </c>
      <c r="I53" s="0" t="s">
        <v>13</v>
      </c>
      <c r="J53" s="0" t="str">
        <f aca="false">"45-56"</f>
        <v>45-56</v>
      </c>
      <c r="K53" s="0" t="str">
        <f aca="false">"1.04"</f>
        <v>1.04</v>
      </c>
      <c r="L53" s="0" t="str">
        <f aca="false">"8.00"</f>
        <v>8.00</v>
      </c>
      <c r="M53" s="0" t="str">
        <f aca="false">"-36.2"</f>
        <v>-36.2</v>
      </c>
    </row>
    <row r="54" customFormat="false" ht="12.8" hidden="false" customHeight="false" outlineLevel="0" collapsed="false">
      <c r="A54" s="0" t="s">
        <v>1516</v>
      </c>
      <c r="B54" s="0" t="s">
        <v>13</v>
      </c>
      <c r="C54" s="0" t="str">
        <f aca="false">"207-218"</f>
        <v>207-218</v>
      </c>
      <c r="D54" s="0" t="s">
        <v>13</v>
      </c>
      <c r="E54" s="0" t="str">
        <f aca="false">"253-264"</f>
        <v>253-264</v>
      </c>
      <c r="F54" s="0" t="s">
        <v>1569</v>
      </c>
      <c r="G54" s="0" t="s">
        <v>9</v>
      </c>
      <c r="H54" s="0" t="str">
        <f aca="false">"147-158"</f>
        <v>147-158</v>
      </c>
      <c r="I54" s="0" t="s">
        <v>9</v>
      </c>
      <c r="J54" s="0" t="str">
        <f aca="false">"85-96"</f>
        <v>85-96</v>
      </c>
      <c r="K54" s="0" t="str">
        <f aca="false">"1.08"</f>
        <v>1.08</v>
      </c>
      <c r="L54" s="0" t="str">
        <f aca="false">"10.73"</f>
        <v>10.73</v>
      </c>
      <c r="M54" s="0" t="str">
        <f aca="false">"-31.0"</f>
        <v>-31.0</v>
      </c>
    </row>
    <row r="55" customFormat="false" ht="12.8" hidden="false" customHeight="false" outlineLevel="0" collapsed="false">
      <c r="A55" s="0" t="s">
        <v>1516</v>
      </c>
      <c r="B55" s="0" t="s">
        <v>13</v>
      </c>
      <c r="C55" s="0" t="str">
        <f aca="false">"200-211"</f>
        <v>200-211</v>
      </c>
      <c r="D55" s="0" t="s">
        <v>13</v>
      </c>
      <c r="E55" s="0" t="str">
        <f aca="false">"245-256"</f>
        <v>245-256</v>
      </c>
      <c r="F55" s="0" t="s">
        <v>1570</v>
      </c>
      <c r="G55" s="0" t="s">
        <v>9</v>
      </c>
      <c r="H55" s="0" t="str">
        <f aca="false">"131-142"</f>
        <v>131-142</v>
      </c>
      <c r="I55" s="0" t="s">
        <v>9</v>
      </c>
      <c r="J55" s="0" t="str">
        <f aca="false">"82-93"</f>
        <v>82-93</v>
      </c>
      <c r="K55" s="0" t="str">
        <f aca="false">"1.06"</f>
        <v>1.06</v>
      </c>
      <c r="L55" s="0" t="str">
        <f aca="false">"10.07"</f>
        <v>10.07</v>
      </c>
      <c r="M55" s="0" t="str">
        <f aca="false">"-33.7"</f>
        <v>-33.7</v>
      </c>
    </row>
    <row r="56" customFormat="false" ht="12.8" hidden="false" customHeight="false" outlineLevel="0" collapsed="false">
      <c r="A56" s="0" t="s">
        <v>1516</v>
      </c>
      <c r="B56" s="0" t="s">
        <v>13</v>
      </c>
      <c r="C56" s="0" t="str">
        <f aca="false">"204-215"</f>
        <v>204-215</v>
      </c>
      <c r="D56" s="0" t="s">
        <v>13</v>
      </c>
      <c r="E56" s="0" t="str">
        <f aca="false">"247-258"</f>
        <v>247-258</v>
      </c>
      <c r="F56" s="0" t="s">
        <v>1571</v>
      </c>
      <c r="G56" s="0" t="s">
        <v>120</v>
      </c>
      <c r="H56" s="0" t="str">
        <f aca="false">"151-162"</f>
        <v>151-162</v>
      </c>
      <c r="I56" s="0" t="s">
        <v>120</v>
      </c>
      <c r="J56" s="0" t="str">
        <f aca="false">"117-128"</f>
        <v>117-128</v>
      </c>
      <c r="K56" s="0" t="str">
        <f aca="false">"1.15"</f>
        <v>1.15</v>
      </c>
      <c r="L56" s="0" t="str">
        <f aca="false">"9.22"</f>
        <v>9.22</v>
      </c>
      <c r="M56" s="0" t="str">
        <f aca="false">"-48.0"</f>
        <v>-48.0</v>
      </c>
    </row>
    <row r="57" customFormat="false" ht="12.8" hidden="false" customHeight="false" outlineLevel="0" collapsed="false">
      <c r="A57" s="0" t="s">
        <v>1516</v>
      </c>
      <c r="B57" s="0" t="s">
        <v>13</v>
      </c>
      <c r="C57" s="0" t="str">
        <f aca="false">"200-211"</f>
        <v>200-211</v>
      </c>
      <c r="D57" s="0" t="s">
        <v>13</v>
      </c>
      <c r="E57" s="0" t="str">
        <f aca="false">"246-257"</f>
        <v>246-257</v>
      </c>
      <c r="F57" s="0" t="s">
        <v>1572</v>
      </c>
      <c r="G57" s="0" t="s">
        <v>9</v>
      </c>
      <c r="H57" s="0" t="str">
        <f aca="false">"128-139"</f>
        <v>128-139</v>
      </c>
      <c r="I57" s="0" t="s">
        <v>9</v>
      </c>
      <c r="J57" s="0" t="str">
        <f aca="false">"101-112"</f>
        <v>101-112</v>
      </c>
      <c r="K57" s="0" t="str">
        <f aca="false">"1.20"</f>
        <v>1.20</v>
      </c>
      <c r="L57" s="0" t="str">
        <f aca="false">"10.23"</f>
        <v>10.23</v>
      </c>
      <c r="M57" s="0" t="str">
        <f aca="false">"-45.1"</f>
        <v>-45.1</v>
      </c>
    </row>
    <row r="58" customFormat="false" ht="12.8" hidden="false" customHeight="false" outlineLevel="0" collapsed="false">
      <c r="A58" s="0" t="s">
        <v>1516</v>
      </c>
      <c r="B58" s="0" t="s">
        <v>13</v>
      </c>
      <c r="C58" s="0" t="str">
        <f aca="false">"203-214"</f>
        <v>203-214</v>
      </c>
      <c r="D58" s="0" t="s">
        <v>13</v>
      </c>
      <c r="E58" s="0" t="str">
        <f aca="false">"246-257"</f>
        <v>246-257</v>
      </c>
      <c r="F58" s="0" t="s">
        <v>1573</v>
      </c>
      <c r="G58" s="0" t="s">
        <v>9</v>
      </c>
      <c r="H58" s="0" t="str">
        <f aca="false">"144-155"</f>
        <v>144-155</v>
      </c>
      <c r="I58" s="0" t="s">
        <v>9</v>
      </c>
      <c r="J58" s="0" t="str">
        <f aca="false">"96-107"</f>
        <v>96-107</v>
      </c>
      <c r="K58" s="0" t="str">
        <f aca="false">"1.08"</f>
        <v>1.08</v>
      </c>
      <c r="L58" s="0" t="str">
        <f aca="false">"10.13"</f>
        <v>10.13</v>
      </c>
      <c r="M58" s="0" t="str">
        <f aca="false">"-35.0"</f>
        <v>-35.0</v>
      </c>
    </row>
    <row r="59" customFormat="false" ht="12.8" hidden="false" customHeight="false" outlineLevel="0" collapsed="false">
      <c r="A59" s="0" t="s">
        <v>1516</v>
      </c>
      <c r="B59" s="0" t="s">
        <v>13</v>
      </c>
      <c r="C59" s="0" t="str">
        <f aca="false">"200-211"</f>
        <v>200-211</v>
      </c>
      <c r="D59" s="0" t="s">
        <v>13</v>
      </c>
      <c r="E59" s="0" t="str">
        <f aca="false">"246-257"</f>
        <v>246-257</v>
      </c>
      <c r="F59" s="0" t="s">
        <v>1574</v>
      </c>
      <c r="G59" s="0" t="s">
        <v>13</v>
      </c>
      <c r="H59" s="0" t="str">
        <f aca="false">"340-351"</f>
        <v>340-351</v>
      </c>
      <c r="I59" s="0" t="s">
        <v>13</v>
      </c>
      <c r="J59" s="0" t="str">
        <f aca="false">"149-160"</f>
        <v>149-160</v>
      </c>
      <c r="K59" s="0" t="str">
        <f aca="false">"1.16"</f>
        <v>1.16</v>
      </c>
      <c r="L59" s="0" t="str">
        <f aca="false">"10.21"</f>
        <v>10.21</v>
      </c>
      <c r="M59" s="0" t="str">
        <f aca="false">"-52.5"</f>
        <v>-52.5</v>
      </c>
    </row>
    <row r="60" customFormat="false" ht="12.8" hidden="false" customHeight="false" outlineLevel="0" collapsed="false">
      <c r="A60" s="0" t="s">
        <v>1516</v>
      </c>
      <c r="B60" s="0" t="s">
        <v>13</v>
      </c>
      <c r="C60" s="0" t="str">
        <f aca="false">"201-212"</f>
        <v>201-212</v>
      </c>
      <c r="D60" s="0" t="s">
        <v>13</v>
      </c>
      <c r="E60" s="0" t="str">
        <f aca="false">"246-257"</f>
        <v>246-257</v>
      </c>
      <c r="F60" s="0" t="s">
        <v>1575</v>
      </c>
      <c r="G60" s="0" t="s">
        <v>71</v>
      </c>
      <c r="H60" s="0" t="str">
        <f aca="false">"98-109"</f>
        <v>98-109</v>
      </c>
      <c r="I60" s="0" t="s">
        <v>9</v>
      </c>
      <c r="J60" s="0" t="str">
        <f aca="false">"67-78"</f>
        <v>67-78</v>
      </c>
      <c r="K60" s="0" t="str">
        <f aca="false">"1.21"</f>
        <v>1.21</v>
      </c>
      <c r="L60" s="0" t="str">
        <f aca="false">"9.76"</f>
        <v>9.76</v>
      </c>
      <c r="M60" s="0" t="str">
        <f aca="false">"-38.8"</f>
        <v>-38.8</v>
      </c>
    </row>
    <row r="61" customFormat="false" ht="12.8" hidden="false" customHeight="false" outlineLevel="0" collapsed="false">
      <c r="A61" s="0" t="s">
        <v>1516</v>
      </c>
      <c r="B61" s="0" t="s">
        <v>13</v>
      </c>
      <c r="C61" s="0" t="str">
        <f aca="false">"201-212"</f>
        <v>201-212</v>
      </c>
      <c r="D61" s="0" t="s">
        <v>13</v>
      </c>
      <c r="E61" s="0" t="str">
        <f aca="false">"248-259"</f>
        <v>248-259</v>
      </c>
      <c r="F61" s="0" t="s">
        <v>1576</v>
      </c>
      <c r="G61" s="0" t="s">
        <v>120</v>
      </c>
      <c r="H61" s="0" t="str">
        <f aca="false">"79-90"</f>
        <v>79-90</v>
      </c>
      <c r="I61" s="0" t="s">
        <v>13</v>
      </c>
      <c r="J61" s="0" t="str">
        <f aca="false">"46-57"</f>
        <v>46-57</v>
      </c>
      <c r="K61" s="0" t="str">
        <f aca="false">"1.12"</f>
        <v>1.12</v>
      </c>
      <c r="L61" s="0" t="str">
        <f aca="false">"10.27"</f>
        <v>10.27</v>
      </c>
      <c r="M61" s="0" t="str">
        <f aca="false">"-38.4"</f>
        <v>-38.4</v>
      </c>
    </row>
    <row r="62" customFormat="false" ht="12.8" hidden="false" customHeight="false" outlineLevel="0" collapsed="false">
      <c r="A62" s="0" t="s">
        <v>1516</v>
      </c>
      <c r="B62" s="0" t="s">
        <v>13</v>
      </c>
      <c r="C62" s="0" t="str">
        <f aca="false">"200-211"</f>
        <v>200-211</v>
      </c>
      <c r="D62" s="0" t="s">
        <v>13</v>
      </c>
      <c r="E62" s="0" t="str">
        <f aca="false">"245-256"</f>
        <v>245-256</v>
      </c>
      <c r="F62" s="0" t="s">
        <v>1577</v>
      </c>
      <c r="G62" s="0" t="s">
        <v>70</v>
      </c>
      <c r="H62" s="0" t="str">
        <f aca="false">"309-320"</f>
        <v>309-320</v>
      </c>
      <c r="I62" s="0" t="s">
        <v>70</v>
      </c>
      <c r="J62" s="0" t="str">
        <f aca="false">"78-89"</f>
        <v>78-89</v>
      </c>
      <c r="K62" s="0" t="str">
        <f aca="false">"1.05"</f>
        <v>1.05</v>
      </c>
      <c r="L62" s="0" t="str">
        <f aca="false">"9.75"</f>
        <v>9.75</v>
      </c>
      <c r="M62" s="0" t="str">
        <f aca="false">"-38.9"</f>
        <v>-38.9</v>
      </c>
    </row>
    <row r="63" customFormat="false" ht="12.8" hidden="false" customHeight="false" outlineLevel="0" collapsed="false">
      <c r="A63" s="0" t="s">
        <v>1516</v>
      </c>
      <c r="B63" s="0" t="s">
        <v>13</v>
      </c>
      <c r="C63" s="0" t="str">
        <f aca="false">"208-219"</f>
        <v>208-219</v>
      </c>
      <c r="D63" s="0" t="s">
        <v>13</v>
      </c>
      <c r="E63" s="0" t="str">
        <f aca="false">"253-264"</f>
        <v>253-264</v>
      </c>
      <c r="F63" s="0" t="s">
        <v>1578</v>
      </c>
      <c r="G63" s="0" t="s">
        <v>120</v>
      </c>
      <c r="H63" s="0" t="str">
        <f aca="false">"103-114"</f>
        <v>103-114</v>
      </c>
      <c r="I63" s="0" t="s">
        <v>120</v>
      </c>
      <c r="J63" s="0" t="str">
        <f aca="false">"142-153"</f>
        <v>142-153</v>
      </c>
      <c r="K63" s="0" t="str">
        <f aca="false">"1.17"</f>
        <v>1.17</v>
      </c>
      <c r="L63" s="0" t="str">
        <f aca="false">"9.30"</f>
        <v>9.30</v>
      </c>
      <c r="M63" s="0" t="str">
        <f aca="false">"-33.2"</f>
        <v>-33.2</v>
      </c>
    </row>
    <row r="64" customFormat="false" ht="12.8" hidden="false" customHeight="false" outlineLevel="0" collapsed="false">
      <c r="A64" s="0" t="s">
        <v>1516</v>
      </c>
      <c r="B64" s="0" t="s">
        <v>13</v>
      </c>
      <c r="C64" s="0" t="str">
        <f aca="false">"204-215"</f>
        <v>204-215</v>
      </c>
      <c r="D64" s="0" t="s">
        <v>13</v>
      </c>
      <c r="E64" s="0" t="str">
        <f aca="false">"248-259"</f>
        <v>248-259</v>
      </c>
      <c r="F64" s="0" t="s">
        <v>1579</v>
      </c>
      <c r="G64" s="0" t="s">
        <v>13</v>
      </c>
      <c r="H64" s="0" t="str">
        <f aca="false">"281-292"</f>
        <v>281-292</v>
      </c>
      <c r="I64" s="0" t="s">
        <v>13</v>
      </c>
      <c r="J64" s="0" t="str">
        <f aca="false">"316-327"</f>
        <v>316-327</v>
      </c>
      <c r="K64" s="0" t="str">
        <f aca="false">"1.18"</f>
        <v>1.18</v>
      </c>
      <c r="L64" s="0" t="str">
        <f aca="false">"8.95"</f>
        <v>8.95</v>
      </c>
      <c r="M64" s="0" t="str">
        <f aca="false">"-50.2"</f>
        <v>-50.2</v>
      </c>
    </row>
    <row r="65" customFormat="false" ht="12.8" hidden="false" customHeight="false" outlineLevel="0" collapsed="false">
      <c r="A65" s="0" t="s">
        <v>1516</v>
      </c>
      <c r="B65" s="0" t="s">
        <v>13</v>
      </c>
      <c r="C65" s="0" t="str">
        <f aca="false">"200-211"</f>
        <v>200-211</v>
      </c>
      <c r="D65" s="0" t="s">
        <v>13</v>
      </c>
      <c r="E65" s="0" t="str">
        <f aca="false">"246-257"</f>
        <v>246-257</v>
      </c>
      <c r="F65" s="0" t="s">
        <v>1580</v>
      </c>
      <c r="G65" s="0" t="s">
        <v>9</v>
      </c>
      <c r="H65" s="0" t="str">
        <f aca="false">"212-223"</f>
        <v>212-223</v>
      </c>
      <c r="I65" s="0" t="s">
        <v>9</v>
      </c>
      <c r="J65" s="0" t="str">
        <f aca="false">"264-275"</f>
        <v>264-275</v>
      </c>
      <c r="K65" s="0" t="str">
        <f aca="false">"1.06"</f>
        <v>1.06</v>
      </c>
      <c r="L65" s="0" t="str">
        <f aca="false">"9.74"</f>
        <v>9.74</v>
      </c>
      <c r="M65" s="0" t="str">
        <f aca="false">"-53.8"</f>
        <v>-53.8</v>
      </c>
    </row>
    <row r="66" customFormat="false" ht="12.8" hidden="false" customHeight="false" outlineLevel="0" collapsed="false">
      <c r="A66" s="0" t="s">
        <v>1516</v>
      </c>
      <c r="B66" s="0" t="s">
        <v>13</v>
      </c>
      <c r="C66" s="0" t="str">
        <f aca="false">"204-215"</f>
        <v>204-215</v>
      </c>
      <c r="D66" s="0" t="s">
        <v>13</v>
      </c>
      <c r="E66" s="0" t="str">
        <f aca="false">"250-261"</f>
        <v>250-261</v>
      </c>
      <c r="F66" s="0" t="s">
        <v>1581</v>
      </c>
      <c r="G66" s="0" t="s">
        <v>9</v>
      </c>
      <c r="H66" s="0" t="str">
        <f aca="false">"541-552"</f>
        <v>541-552</v>
      </c>
      <c r="I66" s="0" t="s">
        <v>9</v>
      </c>
      <c r="J66" s="0" t="str">
        <f aca="false">"500-511"</f>
        <v>500-511</v>
      </c>
      <c r="K66" s="0" t="str">
        <f aca="false">"0.87"</f>
        <v>0.87</v>
      </c>
      <c r="L66" s="0" t="str">
        <f aca="false">"9.44"</f>
        <v>9.44</v>
      </c>
      <c r="M66" s="0" t="str">
        <f aca="false">"-41.0"</f>
        <v>-41.0</v>
      </c>
    </row>
    <row r="67" customFormat="false" ht="12.8" hidden="false" customHeight="false" outlineLevel="0" collapsed="false">
      <c r="A67" s="0" t="s">
        <v>1516</v>
      </c>
      <c r="B67" s="0" t="s">
        <v>13</v>
      </c>
      <c r="C67" s="0" t="str">
        <f aca="false">"202-213"</f>
        <v>202-213</v>
      </c>
      <c r="D67" s="0" t="s">
        <v>13</v>
      </c>
      <c r="E67" s="0" t="str">
        <f aca="false">"248-259"</f>
        <v>248-259</v>
      </c>
      <c r="F67" s="0" t="s">
        <v>1582</v>
      </c>
      <c r="G67" s="0" t="s">
        <v>9</v>
      </c>
      <c r="H67" s="0" t="str">
        <f aca="false">"277-288"</f>
        <v>277-288</v>
      </c>
      <c r="I67" s="0" t="s">
        <v>9</v>
      </c>
      <c r="J67" s="0" t="str">
        <f aca="false">"335-346"</f>
        <v>335-346</v>
      </c>
      <c r="K67" s="0" t="str">
        <f aca="false">"0.90"</f>
        <v>0.90</v>
      </c>
      <c r="L67" s="0" t="str">
        <f aca="false">"8.36"</f>
        <v>8.36</v>
      </c>
      <c r="M67" s="0" t="str">
        <f aca="false">"-49.8"</f>
        <v>-49.8</v>
      </c>
    </row>
    <row r="68" customFormat="false" ht="12.8" hidden="false" customHeight="false" outlineLevel="0" collapsed="false">
      <c r="A68" s="0" t="s">
        <v>1516</v>
      </c>
      <c r="B68" s="0" t="s">
        <v>13</v>
      </c>
      <c r="C68" s="0" t="str">
        <f aca="false">"202-213"</f>
        <v>202-213</v>
      </c>
      <c r="D68" s="0" t="s">
        <v>13</v>
      </c>
      <c r="E68" s="0" t="str">
        <f aca="false">"248-259"</f>
        <v>248-259</v>
      </c>
      <c r="F68" s="0" t="s">
        <v>1583</v>
      </c>
      <c r="G68" s="0" t="s">
        <v>9</v>
      </c>
      <c r="H68" s="0" t="str">
        <f aca="false">"176-187"</f>
        <v>176-187</v>
      </c>
      <c r="I68" s="0" t="s">
        <v>9</v>
      </c>
      <c r="J68" s="0" t="str">
        <f aca="false">"207-218"</f>
        <v>207-218</v>
      </c>
      <c r="K68" s="0" t="str">
        <f aca="false">"1.18"</f>
        <v>1.18</v>
      </c>
      <c r="L68" s="0" t="str">
        <f aca="false">"8.45"</f>
        <v>8.45</v>
      </c>
      <c r="M68" s="0" t="str">
        <f aca="false">"-35.5"</f>
        <v>-35.5</v>
      </c>
    </row>
    <row r="69" customFormat="false" ht="12.8" hidden="false" customHeight="false" outlineLevel="0" collapsed="false">
      <c r="A69" s="0" t="s">
        <v>1516</v>
      </c>
      <c r="B69" s="0" t="s">
        <v>13</v>
      </c>
      <c r="C69" s="0" t="str">
        <f aca="false">"204-215"</f>
        <v>204-215</v>
      </c>
      <c r="D69" s="0" t="s">
        <v>13</v>
      </c>
      <c r="E69" s="0" t="str">
        <f aca="false">"249-260"</f>
        <v>249-260</v>
      </c>
      <c r="F69" s="0" t="s">
        <v>1584</v>
      </c>
      <c r="G69" s="0" t="s">
        <v>9</v>
      </c>
      <c r="H69" s="0" t="str">
        <f aca="false">"685-696"</f>
        <v>685-696</v>
      </c>
      <c r="I69" s="0" t="s">
        <v>9</v>
      </c>
      <c r="J69" s="0" t="str">
        <f aca="false">"590-601"</f>
        <v>590-601</v>
      </c>
      <c r="K69" s="0" t="str">
        <f aca="false">"0.68"</f>
        <v>0.68</v>
      </c>
      <c r="L69" s="0" t="str">
        <f aca="false">"7.99"</f>
        <v>7.99</v>
      </c>
      <c r="M69" s="0" t="str">
        <f aca="false">"-41.4"</f>
        <v>-41.4</v>
      </c>
    </row>
    <row r="70" customFormat="false" ht="12.8" hidden="false" customHeight="false" outlineLevel="0" collapsed="false">
      <c r="A70" s="0" t="s">
        <v>1516</v>
      </c>
      <c r="B70" s="0" t="s">
        <v>13</v>
      </c>
      <c r="C70" s="0" t="str">
        <f aca="false">"200-211"</f>
        <v>200-211</v>
      </c>
      <c r="D70" s="0" t="s">
        <v>13</v>
      </c>
      <c r="E70" s="0" t="str">
        <f aca="false">"245-256"</f>
        <v>245-256</v>
      </c>
      <c r="F70" s="0" t="s">
        <v>1585</v>
      </c>
      <c r="G70" s="0" t="s">
        <v>9</v>
      </c>
      <c r="H70" s="0" t="str">
        <f aca="false">"14-25"</f>
        <v>14-25</v>
      </c>
      <c r="I70" s="0" t="s">
        <v>9</v>
      </c>
      <c r="J70" s="0" t="str">
        <f aca="false">"224-235"</f>
        <v>224-235</v>
      </c>
      <c r="K70" s="0" t="str">
        <f aca="false">"1.21"</f>
        <v>1.21</v>
      </c>
      <c r="L70" s="0" t="str">
        <f aca="false">"8.25"</f>
        <v>8.25</v>
      </c>
      <c r="M70" s="0" t="str">
        <f aca="false">"-63.7"</f>
        <v>-63.7</v>
      </c>
    </row>
    <row r="71" customFormat="false" ht="12.8" hidden="false" customHeight="false" outlineLevel="0" collapsed="false">
      <c r="A71" s="0" t="s">
        <v>1516</v>
      </c>
      <c r="B71" s="0" t="s">
        <v>13</v>
      </c>
      <c r="C71" s="0" t="str">
        <f aca="false">"200-211"</f>
        <v>200-211</v>
      </c>
      <c r="D71" s="0" t="s">
        <v>13</v>
      </c>
      <c r="E71" s="0" t="str">
        <f aca="false">"245-256"</f>
        <v>245-256</v>
      </c>
      <c r="F71" s="0" t="s">
        <v>1586</v>
      </c>
      <c r="G71" s="0" t="s">
        <v>9</v>
      </c>
      <c r="H71" s="0" t="str">
        <f aca="false">"168-179"</f>
        <v>168-179</v>
      </c>
      <c r="I71" s="0" t="s">
        <v>9</v>
      </c>
      <c r="J71" s="0" t="str">
        <f aca="false">"204-215"</f>
        <v>204-215</v>
      </c>
      <c r="K71" s="0" t="str">
        <f aca="false">"0.82"</f>
        <v>0.82</v>
      </c>
      <c r="L71" s="0" t="str">
        <f aca="false">"8.28"</f>
        <v>8.28</v>
      </c>
      <c r="M71" s="0" t="str">
        <f aca="false">"-53.2"</f>
        <v>-53.2</v>
      </c>
    </row>
    <row r="72" customFormat="false" ht="12.8" hidden="false" customHeight="false" outlineLevel="0" collapsed="false">
      <c r="A72" s="0" t="s">
        <v>1516</v>
      </c>
      <c r="B72" s="0" t="s">
        <v>13</v>
      </c>
      <c r="C72" s="0" t="str">
        <f aca="false">"203-214"</f>
        <v>203-214</v>
      </c>
      <c r="D72" s="0" t="s">
        <v>13</v>
      </c>
      <c r="E72" s="0" t="str">
        <f aca="false">"246-257"</f>
        <v>246-257</v>
      </c>
      <c r="F72" s="0" t="s">
        <v>1587</v>
      </c>
      <c r="G72" s="0" t="s">
        <v>9</v>
      </c>
      <c r="H72" s="0" t="str">
        <f aca="false">"141-152"</f>
        <v>141-152</v>
      </c>
      <c r="I72" s="0" t="s">
        <v>9</v>
      </c>
      <c r="J72" s="0" t="str">
        <f aca="false">"31-42"</f>
        <v>31-42</v>
      </c>
      <c r="K72" s="0" t="str">
        <f aca="false">"1.15"</f>
        <v>1.15</v>
      </c>
      <c r="L72" s="0" t="str">
        <f aca="false">"8.81"</f>
        <v>8.81</v>
      </c>
      <c r="M72" s="0" t="str">
        <f aca="false">"-58.8"</f>
        <v>-58.8</v>
      </c>
    </row>
    <row r="73" customFormat="false" ht="12.8" hidden="false" customHeight="false" outlineLevel="0" collapsed="false">
      <c r="A73" s="0" t="s">
        <v>1516</v>
      </c>
      <c r="B73" s="0" t="s">
        <v>13</v>
      </c>
      <c r="C73" s="0" t="str">
        <f aca="false">"200-211"</f>
        <v>200-211</v>
      </c>
      <c r="D73" s="0" t="s">
        <v>13</v>
      </c>
      <c r="E73" s="0" t="str">
        <f aca="false">"245-256"</f>
        <v>245-256</v>
      </c>
      <c r="F73" s="0" t="s">
        <v>1588</v>
      </c>
      <c r="G73" s="0" t="s">
        <v>9</v>
      </c>
      <c r="H73" s="0" t="str">
        <f aca="false">"233-244"</f>
        <v>233-244</v>
      </c>
      <c r="I73" s="0" t="s">
        <v>9</v>
      </c>
      <c r="J73" s="0" t="str">
        <f aca="false">"275-286"</f>
        <v>275-286</v>
      </c>
      <c r="K73" s="0" t="str">
        <f aca="false">"0.84"</f>
        <v>0.84</v>
      </c>
      <c r="L73" s="0" t="str">
        <f aca="false">"7.65"</f>
        <v>7.65</v>
      </c>
      <c r="M73" s="0" t="str">
        <f aca="false">"-52.2"</f>
        <v>-52.2</v>
      </c>
    </row>
    <row r="74" customFormat="false" ht="12.8" hidden="false" customHeight="false" outlineLevel="0" collapsed="false">
      <c r="A74" s="0" t="s">
        <v>1516</v>
      </c>
      <c r="B74" s="0" t="s">
        <v>13</v>
      </c>
      <c r="C74" s="0" t="str">
        <f aca="false">"200-211"</f>
        <v>200-211</v>
      </c>
      <c r="D74" s="0" t="s">
        <v>13</v>
      </c>
      <c r="E74" s="0" t="str">
        <f aca="false">"246-257"</f>
        <v>246-257</v>
      </c>
      <c r="F74" s="0" t="s">
        <v>1589</v>
      </c>
      <c r="G74" s="0" t="s">
        <v>9</v>
      </c>
      <c r="H74" s="0" t="str">
        <f aca="false">"59-70"</f>
        <v>59-70</v>
      </c>
      <c r="I74" s="0" t="s">
        <v>9</v>
      </c>
      <c r="J74" s="0" t="str">
        <f aca="false">"113-124"</f>
        <v>113-124</v>
      </c>
      <c r="K74" s="0" t="str">
        <f aca="false">"0.98"</f>
        <v>0.98</v>
      </c>
      <c r="L74" s="0" t="str">
        <f aca="false">"9.28"</f>
        <v>9.28</v>
      </c>
      <c r="M74" s="0" t="str">
        <f aca="false">"-42.5"</f>
        <v>-42.5</v>
      </c>
    </row>
    <row r="75" customFormat="false" ht="12.8" hidden="false" customHeight="false" outlineLevel="0" collapsed="false">
      <c r="A75" s="0" t="s">
        <v>1516</v>
      </c>
      <c r="B75" s="0" t="s">
        <v>13</v>
      </c>
      <c r="C75" s="0" t="str">
        <f aca="false">"204-215"</f>
        <v>204-215</v>
      </c>
      <c r="D75" s="0" t="s">
        <v>13</v>
      </c>
      <c r="E75" s="0" t="str">
        <f aca="false">"249-260"</f>
        <v>249-260</v>
      </c>
      <c r="F75" s="0" t="s">
        <v>1590</v>
      </c>
      <c r="G75" s="0" t="s">
        <v>9</v>
      </c>
      <c r="H75" s="0" t="str">
        <f aca="false">"167-178"</f>
        <v>167-178</v>
      </c>
      <c r="I75" s="0" t="s">
        <v>9</v>
      </c>
      <c r="J75" s="0" t="str">
        <f aca="false">"3-14"</f>
        <v>3-14</v>
      </c>
      <c r="K75" s="0" t="str">
        <f aca="false">"0.71"</f>
        <v>0.71</v>
      </c>
      <c r="L75" s="0" t="str">
        <f aca="false">"7.95"</f>
        <v>7.95</v>
      </c>
      <c r="M75" s="0" t="str">
        <f aca="false">"-46.1"</f>
        <v>-46.1</v>
      </c>
    </row>
    <row r="76" customFormat="false" ht="12.8" hidden="false" customHeight="false" outlineLevel="0" collapsed="false">
      <c r="A76" s="0" t="s">
        <v>1516</v>
      </c>
      <c r="B76" s="0" t="s">
        <v>13</v>
      </c>
      <c r="C76" s="0" t="str">
        <f aca="false">"203-214"</f>
        <v>203-214</v>
      </c>
      <c r="D76" s="0" t="s">
        <v>13</v>
      </c>
      <c r="E76" s="0" t="str">
        <f aca="false">"246-257"</f>
        <v>246-257</v>
      </c>
      <c r="F76" s="0" t="s">
        <v>1591</v>
      </c>
      <c r="G76" s="0" t="s">
        <v>9</v>
      </c>
      <c r="H76" s="0" t="str">
        <f aca="false">"326-337"</f>
        <v>326-337</v>
      </c>
      <c r="I76" s="0" t="s">
        <v>9</v>
      </c>
      <c r="J76" s="0" t="str">
        <f aca="false">"206-217"</f>
        <v>206-217</v>
      </c>
      <c r="K76" s="0" t="str">
        <f aca="false">"0.71"</f>
        <v>0.71</v>
      </c>
      <c r="L76" s="0" t="str">
        <f aca="false">"8.41"</f>
        <v>8.41</v>
      </c>
      <c r="M76" s="0" t="str">
        <f aca="false">"-44.7"</f>
        <v>-44.7</v>
      </c>
    </row>
    <row r="77" customFormat="false" ht="12.8" hidden="false" customHeight="false" outlineLevel="0" collapsed="false">
      <c r="A77" s="0" t="s">
        <v>1516</v>
      </c>
      <c r="B77" s="0" t="s">
        <v>13</v>
      </c>
      <c r="C77" s="0" t="str">
        <f aca="false">"203-214"</f>
        <v>203-214</v>
      </c>
      <c r="D77" s="0" t="s">
        <v>13</v>
      </c>
      <c r="E77" s="0" t="str">
        <f aca="false">"245-256"</f>
        <v>245-256</v>
      </c>
      <c r="F77" s="0" t="s">
        <v>1592</v>
      </c>
      <c r="G77" s="0" t="s">
        <v>9</v>
      </c>
      <c r="H77" s="0" t="str">
        <f aca="false">"238-249"</f>
        <v>238-249</v>
      </c>
      <c r="I77" s="0" t="s">
        <v>9</v>
      </c>
      <c r="J77" s="0" t="str">
        <f aca="false">"16-27"</f>
        <v>16-27</v>
      </c>
      <c r="K77" s="0" t="str">
        <f aca="false">"1.02"</f>
        <v>1.02</v>
      </c>
      <c r="L77" s="0" t="str">
        <f aca="false">"8.04"</f>
        <v>8.04</v>
      </c>
      <c r="M77" s="0" t="str">
        <f aca="false">"-47.1"</f>
        <v>-47.1</v>
      </c>
    </row>
    <row r="78" customFormat="false" ht="12.8" hidden="false" customHeight="false" outlineLevel="0" collapsed="false">
      <c r="A78" s="0" t="s">
        <v>1516</v>
      </c>
      <c r="B78" s="0" t="s">
        <v>13</v>
      </c>
      <c r="C78" s="0" t="str">
        <f aca="false">"200-211"</f>
        <v>200-211</v>
      </c>
      <c r="D78" s="0" t="s">
        <v>13</v>
      </c>
      <c r="E78" s="0" t="str">
        <f aca="false">"246-257"</f>
        <v>246-257</v>
      </c>
      <c r="F78" s="0" t="s">
        <v>1593</v>
      </c>
      <c r="G78" s="0" t="s">
        <v>9</v>
      </c>
      <c r="H78" s="0" t="str">
        <f aca="false">"74-85"</f>
        <v>74-85</v>
      </c>
      <c r="I78" s="0" t="s">
        <v>9</v>
      </c>
      <c r="J78" s="0" t="str">
        <f aca="false">"127-138"</f>
        <v>127-138</v>
      </c>
      <c r="K78" s="0" t="str">
        <f aca="false">"1.06"</f>
        <v>1.06</v>
      </c>
      <c r="L78" s="0" t="str">
        <f aca="false">"9.39"</f>
        <v>9.39</v>
      </c>
      <c r="M78" s="0" t="str">
        <f aca="false">"-56.5"</f>
        <v>-56.5</v>
      </c>
    </row>
    <row r="79" customFormat="false" ht="12.8" hidden="false" customHeight="false" outlineLevel="0" collapsed="false">
      <c r="A79" s="0" t="s">
        <v>1516</v>
      </c>
      <c r="B79" s="0" t="s">
        <v>13</v>
      </c>
      <c r="C79" s="0" t="str">
        <f aca="false">"204-215"</f>
        <v>204-215</v>
      </c>
      <c r="D79" s="0" t="s">
        <v>13</v>
      </c>
      <c r="E79" s="0" t="str">
        <f aca="false">"249-260"</f>
        <v>249-260</v>
      </c>
      <c r="F79" s="0" t="s">
        <v>1594</v>
      </c>
      <c r="G79" s="0" t="s">
        <v>9</v>
      </c>
      <c r="H79" s="0" t="str">
        <f aca="false">"6-17"</f>
        <v>6-17</v>
      </c>
      <c r="I79" s="0" t="s">
        <v>13</v>
      </c>
      <c r="J79" s="0" t="str">
        <f aca="false">"78-89"</f>
        <v>78-89</v>
      </c>
      <c r="K79" s="0" t="str">
        <f aca="false">"1.21"</f>
        <v>1.21</v>
      </c>
      <c r="L79" s="0" t="str">
        <f aca="false">"9.58"</f>
        <v>9.58</v>
      </c>
      <c r="M79" s="0" t="str">
        <f aca="false">"-61.0"</f>
        <v>-61.0</v>
      </c>
    </row>
    <row r="80" customFormat="false" ht="12.8" hidden="false" customHeight="false" outlineLevel="0" collapsed="false">
      <c r="A80" s="0" t="s">
        <v>1516</v>
      </c>
      <c r="B80" s="0" t="s">
        <v>13</v>
      </c>
      <c r="C80" s="0" t="str">
        <f aca="false">"204-215"</f>
        <v>204-215</v>
      </c>
      <c r="D80" s="0" t="s">
        <v>13</v>
      </c>
      <c r="E80" s="0" t="str">
        <f aca="false">"249-260"</f>
        <v>249-260</v>
      </c>
      <c r="F80" s="0" t="s">
        <v>1595</v>
      </c>
      <c r="G80" s="0" t="s">
        <v>9</v>
      </c>
      <c r="H80" s="0" t="str">
        <f aca="false">"426-437"</f>
        <v>426-437</v>
      </c>
      <c r="I80" s="0" t="s">
        <v>9</v>
      </c>
      <c r="J80" s="0" t="str">
        <f aca="false">"57-68"</f>
        <v>57-68</v>
      </c>
      <c r="K80" s="0" t="str">
        <f aca="false">"1.00"</f>
        <v>1.00</v>
      </c>
      <c r="L80" s="0" t="str">
        <f aca="false">"7.27"</f>
        <v>7.27</v>
      </c>
      <c r="M80" s="0" t="str">
        <f aca="false">"-47.8"</f>
        <v>-47.8</v>
      </c>
    </row>
    <row r="81" customFormat="false" ht="12.8" hidden="false" customHeight="false" outlineLevel="0" collapsed="false">
      <c r="A81" s="0" t="s">
        <v>1516</v>
      </c>
      <c r="B81" s="0" t="s">
        <v>13</v>
      </c>
      <c r="C81" s="0" t="str">
        <f aca="false">"204-215"</f>
        <v>204-215</v>
      </c>
      <c r="D81" s="0" t="s">
        <v>13</v>
      </c>
      <c r="E81" s="0" t="str">
        <f aca="false">"249-260"</f>
        <v>249-260</v>
      </c>
      <c r="F81" s="0" t="s">
        <v>1596</v>
      </c>
      <c r="G81" s="0" t="s">
        <v>13</v>
      </c>
      <c r="H81" s="0" t="str">
        <f aca="false">"699-710"</f>
        <v>699-710</v>
      </c>
      <c r="I81" s="0" t="s">
        <v>13</v>
      </c>
      <c r="J81" s="0" t="str">
        <f aca="false">"762-773"</f>
        <v>762-773</v>
      </c>
      <c r="K81" s="0" t="str">
        <f aca="false">"0.98"</f>
        <v>0.98</v>
      </c>
      <c r="L81" s="0" t="str">
        <f aca="false">"7.33"</f>
        <v>7.33</v>
      </c>
      <c r="M81" s="0" t="str">
        <f aca="false">"-33.9"</f>
        <v>-33.9</v>
      </c>
    </row>
    <row r="82" customFormat="false" ht="12.8" hidden="false" customHeight="false" outlineLevel="0" collapsed="false">
      <c r="A82" s="0" t="s">
        <v>1516</v>
      </c>
      <c r="B82" s="0" t="s">
        <v>13</v>
      </c>
      <c r="C82" s="0" t="str">
        <f aca="false">"200-211"</f>
        <v>200-211</v>
      </c>
      <c r="D82" s="0" t="s">
        <v>13</v>
      </c>
      <c r="E82" s="0" t="str">
        <f aca="false">"245-256"</f>
        <v>245-256</v>
      </c>
      <c r="F82" s="0" t="s">
        <v>1597</v>
      </c>
      <c r="G82" s="0" t="s">
        <v>9</v>
      </c>
      <c r="H82" s="0" t="str">
        <f aca="false">"212-223"</f>
        <v>212-223</v>
      </c>
      <c r="I82" s="0" t="s">
        <v>9</v>
      </c>
      <c r="J82" s="0" t="str">
        <f aca="false">"103-114"</f>
        <v>103-114</v>
      </c>
      <c r="K82" s="0" t="str">
        <f aca="false">"1.02"</f>
        <v>1.02</v>
      </c>
      <c r="L82" s="0" t="str">
        <f aca="false">"7.64"</f>
        <v>7.64</v>
      </c>
      <c r="M82" s="0" t="str">
        <f aca="false">"-34.3"</f>
        <v>-34.3</v>
      </c>
    </row>
    <row r="83" customFormat="false" ht="12.8" hidden="false" customHeight="false" outlineLevel="0" collapsed="false">
      <c r="A83" s="0" t="s">
        <v>1516</v>
      </c>
      <c r="B83" s="0" t="s">
        <v>13</v>
      </c>
      <c r="C83" s="0" t="str">
        <f aca="false">"204-215"</f>
        <v>204-215</v>
      </c>
      <c r="D83" s="0" t="s">
        <v>13</v>
      </c>
      <c r="E83" s="0" t="str">
        <f aca="false">"248-259"</f>
        <v>248-259</v>
      </c>
      <c r="F83" s="0" t="s">
        <v>1598</v>
      </c>
      <c r="G83" s="0" t="s">
        <v>9</v>
      </c>
      <c r="H83" s="0" t="str">
        <f aca="false">"47-58"</f>
        <v>47-58</v>
      </c>
      <c r="I83" s="0" t="s">
        <v>9</v>
      </c>
      <c r="J83" s="0" t="str">
        <f aca="false">"84-95"</f>
        <v>84-95</v>
      </c>
      <c r="K83" s="0" t="str">
        <f aca="false">"1.14"</f>
        <v>1.14</v>
      </c>
      <c r="L83" s="0" t="str">
        <f aca="false">"9.53"</f>
        <v>9.53</v>
      </c>
      <c r="M83" s="0" t="str">
        <f aca="false">"-50.3"</f>
        <v>-50.3</v>
      </c>
    </row>
    <row r="84" customFormat="false" ht="12.8" hidden="false" customHeight="false" outlineLevel="0" collapsed="false">
      <c r="A84" s="0" t="s">
        <v>1516</v>
      </c>
      <c r="B84" s="0" t="s">
        <v>13</v>
      </c>
      <c r="C84" s="0" t="str">
        <f aca="false">"200-211"</f>
        <v>200-211</v>
      </c>
      <c r="D84" s="0" t="s">
        <v>13</v>
      </c>
      <c r="E84" s="0" t="str">
        <f aca="false">"246-257"</f>
        <v>246-257</v>
      </c>
      <c r="F84" s="0" t="s">
        <v>1599</v>
      </c>
      <c r="G84" s="0" t="s">
        <v>24</v>
      </c>
      <c r="H84" s="0" t="str">
        <f aca="false">"497-508"</f>
        <v>497-508</v>
      </c>
      <c r="I84" s="0" t="s">
        <v>24</v>
      </c>
      <c r="J84" s="0" t="str">
        <f aca="false">"92-103"</f>
        <v>92-103</v>
      </c>
      <c r="K84" s="0" t="str">
        <f aca="false">"0.79"</f>
        <v>0.79</v>
      </c>
      <c r="L84" s="0" t="str">
        <f aca="false">"8.13"</f>
        <v>8.13</v>
      </c>
      <c r="M84" s="0" t="str">
        <f aca="false">"-35.8"</f>
        <v>-35.8</v>
      </c>
    </row>
    <row r="85" customFormat="false" ht="12.8" hidden="false" customHeight="false" outlineLevel="0" collapsed="false">
      <c r="A85" s="0" t="s">
        <v>1516</v>
      </c>
      <c r="B85" s="0" t="s">
        <v>13</v>
      </c>
      <c r="C85" s="0" t="str">
        <f aca="false">"204-215"</f>
        <v>204-215</v>
      </c>
      <c r="D85" s="0" t="s">
        <v>13</v>
      </c>
      <c r="E85" s="0" t="str">
        <f aca="false">"249-260"</f>
        <v>249-260</v>
      </c>
      <c r="F85" s="0" t="s">
        <v>1600</v>
      </c>
      <c r="G85" s="0" t="s">
        <v>9</v>
      </c>
      <c r="H85" s="0" t="str">
        <f aca="false">"217-228"</f>
        <v>217-228</v>
      </c>
      <c r="I85" s="0" t="s">
        <v>9</v>
      </c>
      <c r="J85" s="0" t="str">
        <f aca="false">"77-88"</f>
        <v>77-88</v>
      </c>
      <c r="K85" s="0" t="str">
        <f aca="false">"0.84"</f>
        <v>0.84</v>
      </c>
      <c r="L85" s="0" t="str">
        <f aca="false">"8.27"</f>
        <v>8.27</v>
      </c>
      <c r="M85" s="0" t="str">
        <f aca="false">"-32.9"</f>
        <v>-32.9</v>
      </c>
    </row>
    <row r="86" customFormat="false" ht="12.8" hidden="false" customHeight="false" outlineLevel="0" collapsed="false">
      <c r="A86" s="0" t="s">
        <v>1516</v>
      </c>
      <c r="B86" s="0" t="s">
        <v>13</v>
      </c>
      <c r="C86" s="0" t="str">
        <f aca="false">"203-214"</f>
        <v>203-214</v>
      </c>
      <c r="D86" s="0" t="s">
        <v>13</v>
      </c>
      <c r="E86" s="0" t="str">
        <f aca="false">"249-260"</f>
        <v>249-260</v>
      </c>
      <c r="F86" s="0" t="s">
        <v>1601</v>
      </c>
      <c r="G86" s="0" t="s">
        <v>9</v>
      </c>
      <c r="H86" s="0" t="str">
        <f aca="false">"400-411"</f>
        <v>400-411</v>
      </c>
      <c r="I86" s="0" t="s">
        <v>9</v>
      </c>
      <c r="J86" s="0" t="str">
        <f aca="false">"465-476"</f>
        <v>465-476</v>
      </c>
      <c r="K86" s="0" t="str">
        <f aca="false">"0.79"</f>
        <v>0.79</v>
      </c>
      <c r="L86" s="0" t="str">
        <f aca="false">"7.88"</f>
        <v>7.88</v>
      </c>
      <c r="M86" s="0" t="str">
        <f aca="false">"-50.1"</f>
        <v>-50.1</v>
      </c>
    </row>
    <row r="87" customFormat="false" ht="12.8" hidden="false" customHeight="false" outlineLevel="0" collapsed="false">
      <c r="A87" s="0" t="s">
        <v>1516</v>
      </c>
      <c r="B87" s="0" t="s">
        <v>13</v>
      </c>
      <c r="C87" s="0" t="str">
        <f aca="false">"207-218"</f>
        <v>207-218</v>
      </c>
      <c r="D87" s="0" t="s">
        <v>13</v>
      </c>
      <c r="E87" s="0" t="str">
        <f aca="false">"252-263"</f>
        <v>252-263</v>
      </c>
      <c r="F87" s="0" t="s">
        <v>1602</v>
      </c>
      <c r="G87" s="0" t="s">
        <v>9</v>
      </c>
      <c r="H87" s="0" t="str">
        <f aca="false">"176-187"</f>
        <v>176-187</v>
      </c>
      <c r="I87" s="0" t="s">
        <v>9</v>
      </c>
      <c r="J87" s="0" t="str">
        <f aca="false">"215-226"</f>
        <v>215-226</v>
      </c>
      <c r="K87" s="0" t="str">
        <f aca="false">"0.65"</f>
        <v>0.65</v>
      </c>
      <c r="L87" s="0" t="str">
        <f aca="false">"9.27"</f>
        <v>9.27</v>
      </c>
      <c r="M87" s="0" t="str">
        <f aca="false">"-44.6"</f>
        <v>-44.6</v>
      </c>
    </row>
    <row r="88" customFormat="false" ht="12.8" hidden="false" customHeight="false" outlineLevel="0" collapsed="false">
      <c r="A88" s="0" t="s">
        <v>1516</v>
      </c>
      <c r="B88" s="0" t="s">
        <v>13</v>
      </c>
      <c r="C88" s="0" t="str">
        <f aca="false">"203-214"</f>
        <v>203-214</v>
      </c>
      <c r="D88" s="0" t="s">
        <v>13</v>
      </c>
      <c r="E88" s="0" t="str">
        <f aca="false">"248-259"</f>
        <v>248-259</v>
      </c>
      <c r="F88" s="0" t="s">
        <v>1603</v>
      </c>
      <c r="G88" s="0" t="s">
        <v>9</v>
      </c>
      <c r="H88" s="0" t="str">
        <f aca="false">"436-447"</f>
        <v>436-447</v>
      </c>
      <c r="I88" s="0" t="s">
        <v>9</v>
      </c>
      <c r="J88" s="0" t="str">
        <f aca="false">"17-28"</f>
        <v>17-28</v>
      </c>
      <c r="K88" s="0" t="str">
        <f aca="false">"0.88"</f>
        <v>0.88</v>
      </c>
      <c r="L88" s="0" t="str">
        <f aca="false">"7.68"</f>
        <v>7.68</v>
      </c>
      <c r="M88" s="0" t="str">
        <f aca="false">"-39.4"</f>
        <v>-39.4</v>
      </c>
    </row>
    <row r="89" customFormat="false" ht="12.8" hidden="false" customHeight="false" outlineLevel="0" collapsed="false">
      <c r="A89" s="0" t="s">
        <v>1516</v>
      </c>
      <c r="B89" s="0" t="s">
        <v>13</v>
      </c>
      <c r="C89" s="0" t="str">
        <f aca="false">"203-214"</f>
        <v>203-214</v>
      </c>
      <c r="D89" s="0" t="s">
        <v>13</v>
      </c>
      <c r="E89" s="0" t="str">
        <f aca="false">"248-259"</f>
        <v>248-259</v>
      </c>
      <c r="F89" s="0" t="s">
        <v>1604</v>
      </c>
      <c r="G89" s="0" t="s">
        <v>13</v>
      </c>
      <c r="H89" s="0" t="str">
        <f aca="false">"489-500"</f>
        <v>489-500</v>
      </c>
      <c r="I89" s="0" t="s">
        <v>13</v>
      </c>
      <c r="J89" s="0" t="str">
        <f aca="false">"200-211"</f>
        <v>200-211</v>
      </c>
      <c r="K89" s="0" t="str">
        <f aca="false">"0.94"</f>
        <v>0.94</v>
      </c>
      <c r="L89" s="0" t="str">
        <f aca="false">"7.41"</f>
        <v>7.41</v>
      </c>
      <c r="M89" s="0" t="str">
        <f aca="false">"-38.3"</f>
        <v>-38.3</v>
      </c>
    </row>
    <row r="90" customFormat="false" ht="12.8" hidden="false" customHeight="false" outlineLevel="0" collapsed="false">
      <c r="A90" s="0" t="s">
        <v>1516</v>
      </c>
      <c r="B90" s="0" t="s">
        <v>13</v>
      </c>
      <c r="C90" s="0" t="str">
        <f aca="false">"203-214"</f>
        <v>203-214</v>
      </c>
      <c r="D90" s="0" t="s">
        <v>13</v>
      </c>
      <c r="E90" s="0" t="str">
        <f aca="false">"249-260"</f>
        <v>249-260</v>
      </c>
      <c r="F90" s="0" t="s">
        <v>1605</v>
      </c>
      <c r="G90" s="0" t="s">
        <v>9</v>
      </c>
      <c r="H90" s="0" t="str">
        <f aca="false">"62-73"</f>
        <v>62-73</v>
      </c>
      <c r="I90" s="0" t="s">
        <v>9</v>
      </c>
      <c r="J90" s="0" t="str">
        <f aca="false">"29-40"</f>
        <v>29-40</v>
      </c>
      <c r="K90" s="0" t="str">
        <f aca="false">"0.76"</f>
        <v>0.76</v>
      </c>
      <c r="L90" s="0" t="str">
        <f aca="false">"7.36"</f>
        <v>7.36</v>
      </c>
      <c r="M90" s="0" t="str">
        <f aca="false">"-39.7"</f>
        <v>-39.7</v>
      </c>
    </row>
    <row r="91" customFormat="false" ht="12.8" hidden="false" customHeight="false" outlineLevel="0" collapsed="false">
      <c r="A91" s="0" t="s">
        <v>1516</v>
      </c>
      <c r="B91" s="0" t="s">
        <v>13</v>
      </c>
      <c r="C91" s="0" t="str">
        <f aca="false">"207-218"</f>
        <v>207-218</v>
      </c>
      <c r="D91" s="0" t="s">
        <v>13</v>
      </c>
      <c r="E91" s="0" t="str">
        <f aca="false">"252-263"</f>
        <v>252-263</v>
      </c>
      <c r="F91" s="0" t="s">
        <v>1606</v>
      </c>
      <c r="G91" s="0" t="s">
        <v>9</v>
      </c>
      <c r="H91" s="0" t="str">
        <f aca="false">"83-94"</f>
        <v>83-94</v>
      </c>
      <c r="I91" s="0" t="s">
        <v>9</v>
      </c>
      <c r="J91" s="0" t="str">
        <f aca="false">"29-40"</f>
        <v>29-40</v>
      </c>
      <c r="K91" s="0" t="str">
        <f aca="false">"0.67"</f>
        <v>0.67</v>
      </c>
      <c r="L91" s="0" t="str">
        <f aca="false">"8.78"</f>
        <v>8.78</v>
      </c>
      <c r="M91" s="0" t="str">
        <f aca="false">"-47.7"</f>
        <v>-47.7</v>
      </c>
    </row>
    <row r="92" customFormat="false" ht="12.8" hidden="false" customHeight="false" outlineLevel="0" collapsed="false">
      <c r="A92" s="0" t="s">
        <v>1516</v>
      </c>
      <c r="B92" s="0" t="s">
        <v>13</v>
      </c>
      <c r="C92" s="0" t="str">
        <f aca="false">"204-215"</f>
        <v>204-215</v>
      </c>
      <c r="D92" s="0" t="s">
        <v>13</v>
      </c>
      <c r="E92" s="0" t="str">
        <f aca="false">"249-260"</f>
        <v>249-260</v>
      </c>
      <c r="F92" s="0" t="s">
        <v>1607</v>
      </c>
      <c r="G92" s="0" t="s">
        <v>9</v>
      </c>
      <c r="H92" s="0" t="str">
        <f aca="false">"155-166"</f>
        <v>155-166</v>
      </c>
      <c r="I92" s="0" t="s">
        <v>13</v>
      </c>
      <c r="J92" s="0" t="str">
        <f aca="false">"185-196"</f>
        <v>185-196</v>
      </c>
      <c r="K92" s="0" t="str">
        <f aca="false">"1.23"</f>
        <v>1.23</v>
      </c>
      <c r="L92" s="0" t="str">
        <f aca="false">"9.58"</f>
        <v>9.58</v>
      </c>
      <c r="M92" s="0" t="str">
        <f aca="false">"-49.7"</f>
        <v>-49.7</v>
      </c>
    </row>
    <row r="93" customFormat="false" ht="12.8" hidden="false" customHeight="false" outlineLevel="0" collapsed="false">
      <c r="A93" s="0" t="s">
        <v>1516</v>
      </c>
      <c r="B93" s="0" t="s">
        <v>13</v>
      </c>
      <c r="C93" s="0" t="str">
        <f aca="false">"204-215"</f>
        <v>204-215</v>
      </c>
      <c r="D93" s="0" t="s">
        <v>13</v>
      </c>
      <c r="E93" s="0" t="str">
        <f aca="false">"250-261"</f>
        <v>250-261</v>
      </c>
      <c r="F93" s="0" t="s">
        <v>1608</v>
      </c>
      <c r="G93" s="0" t="s">
        <v>120</v>
      </c>
      <c r="H93" s="0" t="str">
        <f aca="false">"191-202"</f>
        <v>191-202</v>
      </c>
      <c r="I93" s="0" t="s">
        <v>120</v>
      </c>
      <c r="J93" s="0" t="str">
        <f aca="false">"152-163"</f>
        <v>152-163</v>
      </c>
      <c r="K93" s="0" t="str">
        <f aca="false">"0.94"</f>
        <v>0.94</v>
      </c>
      <c r="L93" s="0" t="str">
        <f aca="false">"7.70"</f>
        <v>7.70</v>
      </c>
      <c r="M93" s="0" t="str">
        <f aca="false">"-41.1"</f>
        <v>-41.1</v>
      </c>
    </row>
    <row r="94" customFormat="false" ht="12.8" hidden="false" customHeight="false" outlineLevel="0" collapsed="false">
      <c r="A94" s="0" t="s">
        <v>1516</v>
      </c>
      <c r="B94" s="0" t="s">
        <v>13</v>
      </c>
      <c r="C94" s="0" t="str">
        <f aca="false">"204-215"</f>
        <v>204-215</v>
      </c>
      <c r="D94" s="0" t="s">
        <v>13</v>
      </c>
      <c r="E94" s="0" t="str">
        <f aca="false">"249-260"</f>
        <v>249-260</v>
      </c>
      <c r="F94" s="0" t="s">
        <v>1609</v>
      </c>
      <c r="G94" s="0" t="s">
        <v>9</v>
      </c>
      <c r="H94" s="0" t="str">
        <f aca="false">"207-218"</f>
        <v>207-218</v>
      </c>
      <c r="I94" s="0" t="s">
        <v>9</v>
      </c>
      <c r="J94" s="0" t="str">
        <f aca="false">"241-252"</f>
        <v>241-252</v>
      </c>
      <c r="K94" s="0" t="str">
        <f aca="false">"1.02"</f>
        <v>1.02</v>
      </c>
      <c r="L94" s="0" t="str">
        <f aca="false">"7.91"</f>
        <v>7.91</v>
      </c>
      <c r="M94" s="0" t="str">
        <f aca="false">"-50.7"</f>
        <v>-50.7</v>
      </c>
    </row>
    <row r="95" customFormat="false" ht="12.8" hidden="false" customHeight="false" outlineLevel="0" collapsed="false">
      <c r="A95" s="0" t="s">
        <v>1516</v>
      </c>
      <c r="B95" s="0" t="s">
        <v>13</v>
      </c>
      <c r="C95" s="0" t="str">
        <f aca="false">"207-218"</f>
        <v>207-218</v>
      </c>
      <c r="D95" s="0" t="s">
        <v>13</v>
      </c>
      <c r="E95" s="0" t="str">
        <f aca="false">"253-264"</f>
        <v>253-264</v>
      </c>
      <c r="F95" s="0" t="s">
        <v>1610</v>
      </c>
      <c r="G95" s="0" t="s">
        <v>9</v>
      </c>
      <c r="H95" s="0" t="str">
        <f aca="false">"749-760"</f>
        <v>749-760</v>
      </c>
      <c r="I95" s="0" t="s">
        <v>9</v>
      </c>
      <c r="J95" s="0" t="str">
        <f aca="false">"793-804"</f>
        <v>793-804</v>
      </c>
      <c r="K95" s="0" t="str">
        <f aca="false">"1.10"</f>
        <v>1.10</v>
      </c>
      <c r="L95" s="0" t="str">
        <f aca="false">"9.54"</f>
        <v>9.54</v>
      </c>
      <c r="M95" s="0" t="str">
        <f aca="false">"-53.5"</f>
        <v>-53.5</v>
      </c>
    </row>
    <row r="96" customFormat="false" ht="12.8" hidden="false" customHeight="false" outlineLevel="0" collapsed="false">
      <c r="A96" s="0" t="s">
        <v>1516</v>
      </c>
      <c r="B96" s="0" t="s">
        <v>13</v>
      </c>
      <c r="C96" s="0" t="str">
        <f aca="false">"204-215"</f>
        <v>204-215</v>
      </c>
      <c r="D96" s="0" t="s">
        <v>13</v>
      </c>
      <c r="E96" s="0" t="str">
        <f aca="false">"249-260"</f>
        <v>249-260</v>
      </c>
      <c r="F96" s="0" t="s">
        <v>1611</v>
      </c>
      <c r="G96" s="0" t="s">
        <v>9</v>
      </c>
      <c r="H96" s="0" t="str">
        <f aca="false">"56-67"</f>
        <v>56-67</v>
      </c>
      <c r="I96" s="0" t="s">
        <v>9</v>
      </c>
      <c r="J96" s="0" t="str">
        <f aca="false">"21-32"</f>
        <v>21-32</v>
      </c>
      <c r="K96" s="0" t="str">
        <f aca="false">"1.10"</f>
        <v>1.10</v>
      </c>
      <c r="L96" s="0" t="str">
        <f aca="false">"9.92"</f>
        <v>9.92</v>
      </c>
      <c r="M96" s="0" t="str">
        <f aca="false">"-52.3"</f>
        <v>-52.3</v>
      </c>
    </row>
    <row r="97" customFormat="false" ht="12.8" hidden="false" customHeight="false" outlineLevel="0" collapsed="false">
      <c r="A97" s="0" t="s">
        <v>1516</v>
      </c>
      <c r="B97" s="0" t="s">
        <v>13</v>
      </c>
      <c r="C97" s="0" t="str">
        <f aca="false">"203-214"</f>
        <v>203-214</v>
      </c>
      <c r="D97" s="0" t="s">
        <v>13</v>
      </c>
      <c r="E97" s="0" t="str">
        <f aca="false">"246-257"</f>
        <v>246-257</v>
      </c>
      <c r="F97" s="0" t="s">
        <v>1612</v>
      </c>
      <c r="G97" s="0" t="s">
        <v>9</v>
      </c>
      <c r="H97" s="0" t="str">
        <f aca="false">"75-86"</f>
        <v>75-86</v>
      </c>
      <c r="I97" s="0" t="s">
        <v>9</v>
      </c>
      <c r="J97" s="0" t="str">
        <f aca="false">"4-15"</f>
        <v>4-15</v>
      </c>
      <c r="K97" s="0" t="str">
        <f aca="false">"0.86"</f>
        <v>0.86</v>
      </c>
      <c r="L97" s="0" t="str">
        <f aca="false">"7.43"</f>
        <v>7.43</v>
      </c>
      <c r="M97" s="0" t="str">
        <f aca="false">"-45.5"</f>
        <v>-45.5</v>
      </c>
    </row>
    <row r="98" customFormat="false" ht="12.8" hidden="false" customHeight="false" outlineLevel="0" collapsed="false">
      <c r="A98" s="0" t="s">
        <v>1516</v>
      </c>
      <c r="B98" s="0" t="s">
        <v>13</v>
      </c>
      <c r="C98" s="0" t="str">
        <f aca="false">"207-218"</f>
        <v>207-218</v>
      </c>
      <c r="D98" s="0" t="s">
        <v>13</v>
      </c>
      <c r="E98" s="0" t="str">
        <f aca="false">"253-264"</f>
        <v>253-264</v>
      </c>
      <c r="F98" s="0" t="s">
        <v>1613</v>
      </c>
      <c r="G98" s="0" t="s">
        <v>9</v>
      </c>
      <c r="H98" s="0" t="str">
        <f aca="false">"284-295"</f>
        <v>284-295</v>
      </c>
      <c r="I98" s="0" t="s">
        <v>9</v>
      </c>
      <c r="J98" s="0" t="str">
        <f aca="false">"120-131"</f>
        <v>120-131</v>
      </c>
      <c r="K98" s="0" t="str">
        <f aca="false">"1.25"</f>
        <v>1.25</v>
      </c>
      <c r="L98" s="0" t="str">
        <f aca="false">"10.18"</f>
        <v>10.18</v>
      </c>
      <c r="M98" s="0" t="str">
        <f aca="false">"-51.1"</f>
        <v>-51.1</v>
      </c>
    </row>
    <row r="99" customFormat="false" ht="12.8" hidden="false" customHeight="false" outlineLevel="0" collapsed="false">
      <c r="A99" s="0" t="s">
        <v>1516</v>
      </c>
      <c r="B99" s="0" t="s">
        <v>13</v>
      </c>
      <c r="C99" s="0" t="str">
        <f aca="false">"204-215"</f>
        <v>204-215</v>
      </c>
      <c r="D99" s="0" t="s">
        <v>13</v>
      </c>
      <c r="E99" s="0" t="str">
        <f aca="false">"250-261"</f>
        <v>250-261</v>
      </c>
      <c r="F99" s="0" t="s">
        <v>1614</v>
      </c>
      <c r="G99" s="0" t="s">
        <v>9</v>
      </c>
      <c r="H99" s="0" t="str">
        <f aca="false">"6-17"</f>
        <v>6-17</v>
      </c>
      <c r="I99" s="0" t="s">
        <v>9</v>
      </c>
      <c r="J99" s="0" t="str">
        <f aca="false">"45-56"</f>
        <v>45-56</v>
      </c>
      <c r="K99" s="0" t="str">
        <f aca="false">"1.00"</f>
        <v>1.00</v>
      </c>
      <c r="L99" s="0" t="str">
        <f aca="false">"9.21"</f>
        <v>9.21</v>
      </c>
      <c r="M99" s="0" t="str">
        <f aca="false">"-37.8"</f>
        <v>-37.8</v>
      </c>
    </row>
    <row r="100" customFormat="false" ht="12.8" hidden="false" customHeight="false" outlineLevel="0" collapsed="false">
      <c r="A100" s="0" t="s">
        <v>1516</v>
      </c>
      <c r="B100" s="0" t="s">
        <v>13</v>
      </c>
      <c r="C100" s="0" t="str">
        <f aca="false">"200-211"</f>
        <v>200-211</v>
      </c>
      <c r="D100" s="0" t="s">
        <v>13</v>
      </c>
      <c r="E100" s="0" t="str">
        <f aca="false">"246-257"</f>
        <v>246-257</v>
      </c>
      <c r="F100" s="0" t="s">
        <v>1615</v>
      </c>
      <c r="G100" s="0" t="s">
        <v>13</v>
      </c>
      <c r="H100" s="0" t="str">
        <f aca="false">"95-106"</f>
        <v>95-106</v>
      </c>
      <c r="I100" s="0" t="s">
        <v>13</v>
      </c>
      <c r="J100" s="0" t="str">
        <f aca="false">"73-84"</f>
        <v>73-84</v>
      </c>
      <c r="K100" s="0" t="str">
        <f aca="false">"1.24"</f>
        <v>1.24</v>
      </c>
      <c r="L100" s="0" t="str">
        <f aca="false">"9.68"</f>
        <v>9.68</v>
      </c>
      <c r="M100" s="0" t="str">
        <f aca="false">"-46.8"</f>
        <v>-46.8</v>
      </c>
    </row>
    <row r="101" customFormat="false" ht="12.8" hidden="false" customHeight="false" outlineLevel="0" collapsed="false">
      <c r="A101" s="0" t="s">
        <v>1516</v>
      </c>
      <c r="B101" s="0" t="s">
        <v>13</v>
      </c>
      <c r="C101" s="0" t="str">
        <f aca="false">"203-214"</f>
        <v>203-214</v>
      </c>
      <c r="D101" s="0" t="s">
        <v>13</v>
      </c>
      <c r="E101" s="0" t="str">
        <f aca="false">"246-257"</f>
        <v>246-257</v>
      </c>
      <c r="F101" s="0" t="s">
        <v>1616</v>
      </c>
      <c r="G101" s="0" t="s">
        <v>9</v>
      </c>
      <c r="H101" s="0" t="str">
        <f aca="false">"7-18"</f>
        <v>7-18</v>
      </c>
      <c r="I101" s="0" t="s">
        <v>9</v>
      </c>
      <c r="J101" s="0" t="str">
        <f aca="false">"41-52"</f>
        <v>41-52</v>
      </c>
      <c r="K101" s="0" t="str">
        <f aca="false">"0.81"</f>
        <v>0.81</v>
      </c>
      <c r="L101" s="0" t="str">
        <f aca="false">"9.52"</f>
        <v>9.52</v>
      </c>
      <c r="M101" s="0" t="str">
        <f aca="false">"-40.7"</f>
        <v>-40.7</v>
      </c>
    </row>
    <row r="102" customFormat="false" ht="12.8" hidden="false" customHeight="false" outlineLevel="0" collapsed="false">
      <c r="A102" s="0" t="s">
        <v>1516</v>
      </c>
      <c r="B102" s="0" t="s">
        <v>13</v>
      </c>
      <c r="C102" s="0" t="str">
        <f aca="false">"204-215"</f>
        <v>204-215</v>
      </c>
      <c r="D102" s="0" t="s">
        <v>13</v>
      </c>
      <c r="E102" s="0" t="str">
        <f aca="false">"246-257"</f>
        <v>246-257</v>
      </c>
      <c r="F102" s="0" t="s">
        <v>1617</v>
      </c>
      <c r="G102" s="0" t="s">
        <v>9</v>
      </c>
      <c r="H102" s="0" t="str">
        <f aca="false">"468-479"</f>
        <v>468-479</v>
      </c>
      <c r="I102" s="0" t="s">
        <v>9</v>
      </c>
      <c r="J102" s="0" t="str">
        <f aca="false">"576-587"</f>
        <v>576-587</v>
      </c>
      <c r="K102" s="0" t="str">
        <f aca="false">"0.95"</f>
        <v>0.95</v>
      </c>
      <c r="L102" s="0" t="str">
        <f aca="false">"10.13"</f>
        <v>10.13</v>
      </c>
      <c r="M102" s="0" t="str">
        <f aca="false">"-49.8"</f>
        <v>-49.8</v>
      </c>
    </row>
    <row r="103" customFormat="false" ht="12.8" hidden="false" customHeight="false" outlineLevel="0" collapsed="false">
      <c r="A103" s="0" t="s">
        <v>1516</v>
      </c>
      <c r="B103" s="0" t="s">
        <v>13</v>
      </c>
      <c r="C103" s="0" t="str">
        <f aca="false">"207-218"</f>
        <v>207-218</v>
      </c>
      <c r="D103" s="0" t="s">
        <v>13</v>
      </c>
      <c r="E103" s="0" t="str">
        <f aca="false">"250-261"</f>
        <v>250-261</v>
      </c>
      <c r="F103" s="0" t="s">
        <v>1618</v>
      </c>
      <c r="G103" s="0" t="s">
        <v>13</v>
      </c>
      <c r="H103" s="0" t="str">
        <f aca="false">"466-477"</f>
        <v>466-477</v>
      </c>
      <c r="I103" s="0" t="s">
        <v>13</v>
      </c>
      <c r="J103" s="0" t="str">
        <f aca="false">"509-520"</f>
        <v>509-520</v>
      </c>
      <c r="K103" s="0" t="str">
        <f aca="false">"0.78"</f>
        <v>0.78</v>
      </c>
      <c r="L103" s="0" t="str">
        <f aca="false">"10.04"</f>
        <v>10.04</v>
      </c>
      <c r="M103" s="0" t="str">
        <f aca="false">"-47.1"</f>
        <v>-47.1</v>
      </c>
    </row>
    <row r="104" customFormat="false" ht="12.8" hidden="false" customHeight="false" outlineLevel="0" collapsed="false">
      <c r="A104" s="0" t="s">
        <v>1516</v>
      </c>
      <c r="B104" s="0" t="s">
        <v>13</v>
      </c>
      <c r="C104" s="0" t="str">
        <f aca="false">"206-217"</f>
        <v>206-217</v>
      </c>
      <c r="D104" s="0" t="s">
        <v>13</v>
      </c>
      <c r="E104" s="0" t="str">
        <f aca="false">"250-261"</f>
        <v>250-261</v>
      </c>
      <c r="F104" s="0" t="s">
        <v>1619</v>
      </c>
      <c r="G104" s="0" t="s">
        <v>9</v>
      </c>
      <c r="H104" s="0" t="str">
        <f aca="false">"114-125"</f>
        <v>114-125</v>
      </c>
      <c r="I104" s="0" t="s">
        <v>9</v>
      </c>
      <c r="J104" s="0" t="str">
        <f aca="false">"78-89"</f>
        <v>78-89</v>
      </c>
      <c r="K104" s="0" t="str">
        <f aca="false">"0.76"</f>
        <v>0.76</v>
      </c>
      <c r="L104" s="0" t="str">
        <f aca="false">"9.16"</f>
        <v>9.16</v>
      </c>
      <c r="M104" s="0" t="str">
        <f aca="false">"-41.6"</f>
        <v>-41.6</v>
      </c>
    </row>
    <row r="105" customFormat="false" ht="12.8" hidden="false" customHeight="false" outlineLevel="0" collapsed="false">
      <c r="A105" s="0" t="s">
        <v>1516</v>
      </c>
      <c r="B105" s="0" t="s">
        <v>13</v>
      </c>
      <c r="C105" s="0" t="str">
        <f aca="false">"208-219"</f>
        <v>208-219</v>
      </c>
      <c r="D105" s="0" t="s">
        <v>13</v>
      </c>
      <c r="E105" s="0" t="str">
        <f aca="false">"252-263"</f>
        <v>252-263</v>
      </c>
      <c r="F105" s="0" t="s">
        <v>1620</v>
      </c>
      <c r="G105" s="0" t="s">
        <v>13</v>
      </c>
      <c r="H105" s="0" t="str">
        <f aca="false">"466-477"</f>
        <v>466-477</v>
      </c>
      <c r="I105" s="0" t="s">
        <v>13</v>
      </c>
      <c r="J105" s="0" t="str">
        <f aca="false">"368-379"</f>
        <v>368-379</v>
      </c>
      <c r="K105" s="0" t="str">
        <f aca="false">"0.86"</f>
        <v>0.86</v>
      </c>
      <c r="L105" s="0" t="str">
        <f aca="false">"9.47"</f>
        <v>9.47</v>
      </c>
      <c r="M105" s="0" t="str">
        <f aca="false">"-31.8"</f>
        <v>-31.8</v>
      </c>
    </row>
    <row r="106" customFormat="false" ht="12.8" hidden="false" customHeight="false" outlineLevel="0" collapsed="false">
      <c r="A106" s="0" t="s">
        <v>1516</v>
      </c>
      <c r="B106" s="0" t="s">
        <v>13</v>
      </c>
      <c r="C106" s="0" t="str">
        <f aca="false">"206-217"</f>
        <v>206-217</v>
      </c>
      <c r="D106" s="0" t="s">
        <v>13</v>
      </c>
      <c r="E106" s="0" t="str">
        <f aca="false">"250-261"</f>
        <v>250-261</v>
      </c>
      <c r="F106" s="0" t="s">
        <v>1621</v>
      </c>
      <c r="G106" s="0" t="s">
        <v>9</v>
      </c>
      <c r="H106" s="0" t="str">
        <f aca="false">"122-133"</f>
        <v>122-133</v>
      </c>
      <c r="I106" s="0" t="s">
        <v>9</v>
      </c>
      <c r="J106" s="0" t="str">
        <f aca="false">"190-201"</f>
        <v>190-201</v>
      </c>
      <c r="K106" s="0" t="str">
        <f aca="false">"0.82"</f>
        <v>0.82</v>
      </c>
      <c r="L106" s="0" t="str">
        <f aca="false">"8.11"</f>
        <v>8.11</v>
      </c>
      <c r="M106" s="0" t="str">
        <f aca="false">"-41.4"</f>
        <v>-41.4</v>
      </c>
    </row>
    <row r="107" customFormat="false" ht="12.8" hidden="false" customHeight="false" outlineLevel="0" collapsed="false">
      <c r="A107" s="0" t="s">
        <v>1516</v>
      </c>
      <c r="B107" s="0" t="s">
        <v>13</v>
      </c>
      <c r="C107" s="0" t="str">
        <f aca="false">"201-212"</f>
        <v>201-212</v>
      </c>
      <c r="D107" s="0" t="s">
        <v>13</v>
      </c>
      <c r="E107" s="0" t="str">
        <f aca="false">"246-257"</f>
        <v>246-257</v>
      </c>
      <c r="F107" s="0" t="s">
        <v>1622</v>
      </c>
      <c r="G107" s="0" t="s">
        <v>13</v>
      </c>
      <c r="H107" s="0" t="str">
        <f aca="false">"1190-1201"</f>
        <v>1190-1201</v>
      </c>
      <c r="I107" s="0" t="s">
        <v>13</v>
      </c>
      <c r="J107" s="0" t="str">
        <f aca="false">"1234-1245"</f>
        <v>1234-1245</v>
      </c>
      <c r="K107" s="0" t="str">
        <f aca="false">"1.16"</f>
        <v>1.16</v>
      </c>
      <c r="L107" s="0" t="str">
        <f aca="false">"8.54"</f>
        <v>8.54</v>
      </c>
      <c r="M107" s="0" t="str">
        <f aca="false">"-57.1"</f>
        <v>-57.1</v>
      </c>
    </row>
    <row r="108" customFormat="false" ht="12.8" hidden="false" customHeight="false" outlineLevel="0" collapsed="false">
      <c r="A108" s="0" t="s">
        <v>1516</v>
      </c>
      <c r="B108" s="0" t="s">
        <v>13</v>
      </c>
      <c r="C108" s="0" t="str">
        <f aca="false">"207-218"</f>
        <v>207-218</v>
      </c>
      <c r="D108" s="0" t="s">
        <v>13</v>
      </c>
      <c r="E108" s="0" t="str">
        <f aca="false">"250-261"</f>
        <v>250-261</v>
      </c>
      <c r="F108" s="0" t="s">
        <v>1623</v>
      </c>
      <c r="G108" s="0" t="s">
        <v>9</v>
      </c>
      <c r="H108" s="0" t="str">
        <f aca="false">"126-137"</f>
        <v>126-137</v>
      </c>
      <c r="I108" s="0" t="s">
        <v>9</v>
      </c>
      <c r="J108" s="0" t="str">
        <f aca="false">"156-167"</f>
        <v>156-167</v>
      </c>
      <c r="K108" s="0" t="str">
        <f aca="false">"1.08"</f>
        <v>1.08</v>
      </c>
      <c r="L108" s="0" t="str">
        <f aca="false">"10.60"</f>
        <v>10.60</v>
      </c>
      <c r="M108" s="0" t="str">
        <f aca="false">"-52.0"</f>
        <v>-52.0</v>
      </c>
    </row>
    <row r="109" customFormat="false" ht="12.8" hidden="false" customHeight="false" outlineLevel="0" collapsed="false">
      <c r="A109" s="0" t="s">
        <v>1516</v>
      </c>
      <c r="B109" s="0" t="s">
        <v>13</v>
      </c>
      <c r="C109" s="0" t="str">
        <f aca="false">"206-217"</f>
        <v>206-217</v>
      </c>
      <c r="D109" s="0" t="s">
        <v>13</v>
      </c>
      <c r="E109" s="0" t="str">
        <f aca="false">"249-260"</f>
        <v>249-260</v>
      </c>
      <c r="F109" s="0" t="s">
        <v>1624</v>
      </c>
      <c r="G109" s="0" t="s">
        <v>13</v>
      </c>
      <c r="H109" s="0" t="str">
        <f aca="false">"316-327"</f>
        <v>316-327</v>
      </c>
      <c r="I109" s="0" t="s">
        <v>13</v>
      </c>
      <c r="J109" s="0" t="str">
        <f aca="false">"493-504"</f>
        <v>493-504</v>
      </c>
      <c r="K109" s="0" t="str">
        <f aca="false">"0.97"</f>
        <v>0.97</v>
      </c>
      <c r="L109" s="0" t="str">
        <f aca="false">"8.44"</f>
        <v>8.44</v>
      </c>
      <c r="M109" s="0" t="str">
        <f aca="false">"-50.7"</f>
        <v>-50.7</v>
      </c>
    </row>
    <row r="110" customFormat="false" ht="12.8" hidden="false" customHeight="false" outlineLevel="0" collapsed="false">
      <c r="A110" s="0" t="s">
        <v>1516</v>
      </c>
      <c r="B110" s="0" t="s">
        <v>13</v>
      </c>
      <c r="C110" s="0" t="str">
        <f aca="false">"204-215"</f>
        <v>204-215</v>
      </c>
      <c r="D110" s="0" t="s">
        <v>13</v>
      </c>
      <c r="E110" s="0" t="str">
        <f aca="false">"247-258"</f>
        <v>247-258</v>
      </c>
      <c r="F110" s="0" t="s">
        <v>1625</v>
      </c>
      <c r="G110" s="0" t="s">
        <v>9</v>
      </c>
      <c r="H110" s="0" t="str">
        <f aca="false">"362-373"</f>
        <v>362-373</v>
      </c>
      <c r="I110" s="0" t="s">
        <v>9</v>
      </c>
      <c r="J110" s="0" t="str">
        <f aca="false">"327-338"</f>
        <v>327-338</v>
      </c>
      <c r="K110" s="0" t="str">
        <f aca="false">"1.01"</f>
        <v>1.01</v>
      </c>
      <c r="L110" s="0" t="str">
        <f aca="false">"10.29"</f>
        <v>10.29</v>
      </c>
      <c r="M110" s="0" t="str">
        <f aca="false">"-46.4"</f>
        <v>-46.4</v>
      </c>
    </row>
    <row r="111" customFormat="false" ht="12.8" hidden="false" customHeight="false" outlineLevel="0" collapsed="false">
      <c r="A111" s="0" t="s">
        <v>1516</v>
      </c>
      <c r="B111" s="0" t="s">
        <v>13</v>
      </c>
      <c r="C111" s="0" t="str">
        <f aca="false">"206-217"</f>
        <v>206-217</v>
      </c>
      <c r="D111" s="0" t="s">
        <v>13</v>
      </c>
      <c r="E111" s="0" t="str">
        <f aca="false">"249-260"</f>
        <v>249-260</v>
      </c>
      <c r="F111" s="0" t="s">
        <v>1626</v>
      </c>
      <c r="G111" s="0" t="s">
        <v>9</v>
      </c>
      <c r="H111" s="0" t="str">
        <f aca="false">"233-244"</f>
        <v>233-244</v>
      </c>
      <c r="I111" s="0" t="s">
        <v>9</v>
      </c>
      <c r="J111" s="0" t="str">
        <f aca="false">"298-309"</f>
        <v>298-309</v>
      </c>
      <c r="K111" s="0" t="str">
        <f aca="false">"1.05"</f>
        <v>1.05</v>
      </c>
      <c r="L111" s="0" t="str">
        <f aca="false">"8.54"</f>
        <v>8.54</v>
      </c>
      <c r="M111" s="0" t="str">
        <f aca="false">"-50.5"</f>
        <v>-50.5</v>
      </c>
    </row>
    <row r="112" customFormat="false" ht="12.8" hidden="false" customHeight="false" outlineLevel="0" collapsed="false">
      <c r="A112" s="0" t="s">
        <v>1516</v>
      </c>
      <c r="B112" s="0" t="s">
        <v>13</v>
      </c>
      <c r="C112" s="0" t="str">
        <f aca="false">"207-218"</f>
        <v>207-218</v>
      </c>
      <c r="D112" s="0" t="s">
        <v>13</v>
      </c>
      <c r="E112" s="0" t="str">
        <f aca="false">"250-261"</f>
        <v>250-261</v>
      </c>
      <c r="F112" s="0" t="s">
        <v>1627</v>
      </c>
      <c r="G112" s="0" t="s">
        <v>13</v>
      </c>
      <c r="H112" s="0" t="str">
        <f aca="false">"265-276"</f>
        <v>265-276</v>
      </c>
      <c r="I112" s="0" t="s">
        <v>13</v>
      </c>
      <c r="J112" s="0" t="str">
        <f aca="false">"331-342"</f>
        <v>331-342</v>
      </c>
      <c r="K112" s="0" t="str">
        <f aca="false">"1.00"</f>
        <v>1.00</v>
      </c>
      <c r="L112" s="0" t="str">
        <f aca="false">"10.75"</f>
        <v>10.75</v>
      </c>
      <c r="M112" s="0" t="str">
        <f aca="false">"-41.8"</f>
        <v>-41.8</v>
      </c>
    </row>
    <row r="113" customFormat="false" ht="12.8" hidden="false" customHeight="false" outlineLevel="0" collapsed="false">
      <c r="A113" s="0" t="s">
        <v>1516</v>
      </c>
      <c r="B113" s="0" t="s">
        <v>13</v>
      </c>
      <c r="C113" s="0" t="str">
        <f aca="false">"203-214"</f>
        <v>203-214</v>
      </c>
      <c r="D113" s="0" t="s">
        <v>13</v>
      </c>
      <c r="E113" s="0" t="str">
        <f aca="false">"249-260"</f>
        <v>249-260</v>
      </c>
      <c r="F113" s="0" t="s">
        <v>1628</v>
      </c>
      <c r="G113" s="0" t="s">
        <v>9</v>
      </c>
      <c r="H113" s="0" t="str">
        <f aca="false">"5-16"</f>
        <v>5-16</v>
      </c>
      <c r="I113" s="0" t="s">
        <v>13</v>
      </c>
      <c r="J113" s="0" t="str">
        <f aca="false">"75-86"</f>
        <v>75-86</v>
      </c>
      <c r="K113" s="0" t="str">
        <f aca="false">"1.24"</f>
        <v>1.24</v>
      </c>
      <c r="L113" s="0" t="str">
        <f aca="false">"9.61"</f>
        <v>9.61</v>
      </c>
      <c r="M113" s="0" t="str">
        <f aca="false">"-60.5"</f>
        <v>-60.5</v>
      </c>
    </row>
    <row r="114" customFormat="false" ht="12.8" hidden="false" customHeight="false" outlineLevel="0" collapsed="false">
      <c r="A114" s="0" t="s">
        <v>1516</v>
      </c>
      <c r="B114" s="0" t="s">
        <v>13</v>
      </c>
      <c r="C114" s="0" t="str">
        <f aca="false">"204-215"</f>
        <v>204-215</v>
      </c>
      <c r="D114" s="0" t="s">
        <v>13</v>
      </c>
      <c r="E114" s="0" t="str">
        <f aca="false">"249-260"</f>
        <v>249-260</v>
      </c>
      <c r="F114" s="0" t="s">
        <v>1629</v>
      </c>
      <c r="G114" s="0" t="s">
        <v>9</v>
      </c>
      <c r="H114" s="0" t="str">
        <f aca="false">"233-244"</f>
        <v>233-244</v>
      </c>
      <c r="I114" s="0" t="s">
        <v>9</v>
      </c>
      <c r="J114" s="0" t="str">
        <f aca="false">"189-200"</f>
        <v>189-200</v>
      </c>
      <c r="K114" s="0" t="str">
        <f aca="false">"1.22"</f>
        <v>1.22</v>
      </c>
      <c r="L114" s="0" t="str">
        <f aca="false">"9.97"</f>
        <v>9.97</v>
      </c>
      <c r="M114" s="0" t="str">
        <f aca="false">"-56.9"</f>
        <v>-56.9</v>
      </c>
    </row>
    <row r="115" customFormat="false" ht="12.8" hidden="false" customHeight="false" outlineLevel="0" collapsed="false">
      <c r="A115" s="0" t="s">
        <v>1516</v>
      </c>
      <c r="B115" s="0" t="s">
        <v>13</v>
      </c>
      <c r="C115" s="0" t="str">
        <f aca="false">"200-211"</f>
        <v>200-211</v>
      </c>
      <c r="D115" s="0" t="s">
        <v>13</v>
      </c>
      <c r="E115" s="0" t="str">
        <f aca="false">"253-264"</f>
        <v>253-264</v>
      </c>
      <c r="F115" s="0" t="s">
        <v>1630</v>
      </c>
      <c r="G115" s="0" t="s">
        <v>120</v>
      </c>
      <c r="H115" s="0" t="str">
        <f aca="false">"106-117"</f>
        <v>106-117</v>
      </c>
      <c r="I115" s="0" t="s">
        <v>120</v>
      </c>
      <c r="J115" s="0" t="str">
        <f aca="false">"374-385"</f>
        <v>374-385</v>
      </c>
      <c r="K115" s="0" t="str">
        <f aca="false">"1.20"</f>
        <v>1.20</v>
      </c>
      <c r="L115" s="0" t="str">
        <f aca="false">"13.33"</f>
        <v>13.33</v>
      </c>
      <c r="M115" s="0" t="str">
        <f aca="false">"-66.9"</f>
        <v>-66.9</v>
      </c>
    </row>
    <row r="116" customFormat="false" ht="12.8" hidden="false" customHeight="false" outlineLevel="0" collapsed="false">
      <c r="A116" s="0" t="s">
        <v>1516</v>
      </c>
      <c r="B116" s="0" t="s">
        <v>13</v>
      </c>
      <c r="C116" s="0" t="str">
        <f aca="false">"200-211"</f>
        <v>200-211</v>
      </c>
      <c r="D116" s="0" t="s">
        <v>13</v>
      </c>
      <c r="E116" s="0" t="str">
        <f aca="false">"248-259"</f>
        <v>248-259</v>
      </c>
      <c r="F116" s="0" t="s">
        <v>1631</v>
      </c>
      <c r="G116" s="0" t="s">
        <v>9</v>
      </c>
      <c r="H116" s="0" t="str">
        <f aca="false">"152-163"</f>
        <v>152-163</v>
      </c>
      <c r="I116" s="0" t="s">
        <v>9</v>
      </c>
      <c r="J116" s="0" t="str">
        <f aca="false">"118-129"</f>
        <v>118-129</v>
      </c>
      <c r="K116" s="0" t="str">
        <f aca="false">"0.96"</f>
        <v>0.96</v>
      </c>
      <c r="L116" s="0" t="str">
        <f aca="false">"9.33"</f>
        <v>9.33</v>
      </c>
      <c r="M116" s="0" t="str">
        <f aca="false">"-48.4"</f>
        <v>-48.4</v>
      </c>
    </row>
    <row r="117" customFormat="false" ht="12.8" hidden="false" customHeight="false" outlineLevel="0" collapsed="false">
      <c r="A117" s="0" t="s">
        <v>1516</v>
      </c>
      <c r="B117" s="0" t="s">
        <v>13</v>
      </c>
      <c r="C117" s="0" t="str">
        <f aca="false">"204-215"</f>
        <v>204-215</v>
      </c>
      <c r="D117" s="0" t="s">
        <v>13</v>
      </c>
      <c r="E117" s="0" t="str">
        <f aca="false">"249-260"</f>
        <v>249-260</v>
      </c>
      <c r="F117" s="0" t="s">
        <v>1632</v>
      </c>
      <c r="G117" s="0" t="s">
        <v>9</v>
      </c>
      <c r="H117" s="0" t="str">
        <f aca="false">"36-47"</f>
        <v>36-47</v>
      </c>
      <c r="I117" s="0" t="s">
        <v>13</v>
      </c>
      <c r="J117" s="0" t="str">
        <f aca="false">"36-47"</f>
        <v>36-47</v>
      </c>
      <c r="K117" s="0" t="str">
        <f aca="false">"1.19"</f>
        <v>1.19</v>
      </c>
      <c r="L117" s="0" t="str">
        <f aca="false">"8.15"</f>
        <v>8.15</v>
      </c>
      <c r="M117" s="0" t="str">
        <f aca="false">"-30.0"</f>
        <v>-30.0</v>
      </c>
    </row>
    <row r="118" customFormat="false" ht="12.8" hidden="false" customHeight="false" outlineLevel="0" collapsed="false">
      <c r="A118" s="0" t="s">
        <v>1516</v>
      </c>
      <c r="B118" s="0" t="s">
        <v>13</v>
      </c>
      <c r="C118" s="0" t="str">
        <f aca="false">"203-214"</f>
        <v>203-214</v>
      </c>
      <c r="D118" s="0" t="s">
        <v>13</v>
      </c>
      <c r="E118" s="0" t="str">
        <f aca="false">"249-260"</f>
        <v>249-260</v>
      </c>
      <c r="F118" s="0" t="s">
        <v>1633</v>
      </c>
      <c r="G118" s="0" t="s">
        <v>9</v>
      </c>
      <c r="H118" s="0" t="str">
        <f aca="false">"344-355"</f>
        <v>344-355</v>
      </c>
      <c r="I118" s="0" t="s">
        <v>9</v>
      </c>
      <c r="J118" s="0" t="str">
        <f aca="false">"107-118"</f>
        <v>107-118</v>
      </c>
      <c r="K118" s="0" t="str">
        <f aca="false">"0.98"</f>
        <v>0.98</v>
      </c>
      <c r="L118" s="0" t="str">
        <f aca="false">"9.11"</f>
        <v>9.11</v>
      </c>
      <c r="M118" s="0" t="str">
        <f aca="false">"-35.1"</f>
        <v>-35.1</v>
      </c>
    </row>
    <row r="119" customFormat="false" ht="12.8" hidden="false" customHeight="false" outlineLevel="0" collapsed="false">
      <c r="A119" s="0" t="s">
        <v>1516</v>
      </c>
      <c r="B119" s="0" t="s">
        <v>13</v>
      </c>
      <c r="C119" s="0" t="str">
        <f aca="false">"208-219"</f>
        <v>208-219</v>
      </c>
      <c r="D119" s="0" t="s">
        <v>13</v>
      </c>
      <c r="E119" s="0" t="str">
        <f aca="false">"253-264"</f>
        <v>253-264</v>
      </c>
      <c r="F119" s="0" t="s">
        <v>1634</v>
      </c>
      <c r="G119" s="0" t="s">
        <v>9</v>
      </c>
      <c r="H119" s="0" t="str">
        <f aca="false">"245-256"</f>
        <v>245-256</v>
      </c>
      <c r="I119" s="0" t="s">
        <v>9</v>
      </c>
      <c r="J119" s="0" t="str">
        <f aca="false">"210-221"</f>
        <v>210-221</v>
      </c>
      <c r="K119" s="0" t="str">
        <f aca="false">"1.21"</f>
        <v>1.21</v>
      </c>
      <c r="L119" s="0" t="str">
        <f aca="false">"10.67"</f>
        <v>10.67</v>
      </c>
      <c r="M119" s="0" t="str">
        <f aca="false">"-31.1"</f>
        <v>-31.1</v>
      </c>
    </row>
    <row r="120" customFormat="false" ht="12.8" hidden="false" customHeight="false" outlineLevel="0" collapsed="false">
      <c r="A120" s="0" t="s">
        <v>1516</v>
      </c>
      <c r="B120" s="0" t="s">
        <v>13</v>
      </c>
      <c r="C120" s="0" t="str">
        <f aca="false">"200-211"</f>
        <v>200-211</v>
      </c>
      <c r="D120" s="0" t="s">
        <v>13</v>
      </c>
      <c r="E120" s="0" t="str">
        <f aca="false">"246-257"</f>
        <v>246-257</v>
      </c>
      <c r="F120" s="0" t="s">
        <v>1635</v>
      </c>
      <c r="G120" s="0" t="s">
        <v>9</v>
      </c>
      <c r="H120" s="0" t="str">
        <f aca="false">"1090-1101"</f>
        <v>1090-1101</v>
      </c>
      <c r="I120" s="0" t="s">
        <v>9</v>
      </c>
      <c r="J120" s="0" t="str">
        <f aca="false">"1008-1019"</f>
        <v>1008-1019</v>
      </c>
      <c r="K120" s="0" t="str">
        <f aca="false">"1.10"</f>
        <v>1.10</v>
      </c>
      <c r="L120" s="0" t="str">
        <f aca="false">"9.12"</f>
        <v>9.12</v>
      </c>
      <c r="M120" s="0" t="str">
        <f aca="false">"-29.3"</f>
        <v>-29.3</v>
      </c>
    </row>
    <row r="121" customFormat="false" ht="12.8" hidden="false" customHeight="false" outlineLevel="0" collapsed="false">
      <c r="A121" s="0" t="s">
        <v>1516</v>
      </c>
      <c r="B121" s="0" t="s">
        <v>13</v>
      </c>
      <c r="C121" s="0" t="str">
        <f aca="false">"200-211"</f>
        <v>200-211</v>
      </c>
      <c r="D121" s="0" t="s">
        <v>13</v>
      </c>
      <c r="E121" s="0" t="str">
        <f aca="false">"245-256"</f>
        <v>245-256</v>
      </c>
      <c r="F121" s="0" t="s">
        <v>1636</v>
      </c>
      <c r="G121" s="0" t="s">
        <v>9</v>
      </c>
      <c r="H121" s="0" t="str">
        <f aca="false">"559-570"</f>
        <v>559-570</v>
      </c>
      <c r="I121" s="0" t="s">
        <v>9</v>
      </c>
      <c r="J121" s="0" t="str">
        <f aca="false">"520-531"</f>
        <v>520-531</v>
      </c>
      <c r="K121" s="0" t="str">
        <f aca="false">"1.07"</f>
        <v>1.07</v>
      </c>
      <c r="L121" s="0" t="str">
        <f aca="false">"10.04"</f>
        <v>10.04</v>
      </c>
      <c r="M121" s="0" t="str">
        <f aca="false">"-43.6"</f>
        <v>-43.6</v>
      </c>
    </row>
    <row r="122" customFormat="false" ht="12.8" hidden="false" customHeight="false" outlineLevel="0" collapsed="false">
      <c r="A122" s="0" t="s">
        <v>1516</v>
      </c>
      <c r="B122" s="0" t="s">
        <v>13</v>
      </c>
      <c r="C122" s="0" t="str">
        <f aca="false">"202-213"</f>
        <v>202-213</v>
      </c>
      <c r="D122" s="0" t="s">
        <v>13</v>
      </c>
      <c r="E122" s="0" t="str">
        <f aca="false">"249-260"</f>
        <v>249-260</v>
      </c>
      <c r="F122" s="0" t="s">
        <v>1637</v>
      </c>
      <c r="G122" s="0" t="s">
        <v>1464</v>
      </c>
      <c r="H122" s="0" t="str">
        <f aca="false">"347-358"</f>
        <v>347-358</v>
      </c>
      <c r="I122" s="0" t="s">
        <v>13</v>
      </c>
      <c r="J122" s="0" t="str">
        <f aca="false">"274-285"</f>
        <v>274-285</v>
      </c>
      <c r="K122" s="0" t="str">
        <f aca="false">"1.00"</f>
        <v>1.00</v>
      </c>
      <c r="L122" s="0" t="str">
        <f aca="false">"8.45"</f>
        <v>8.45</v>
      </c>
      <c r="M122" s="0" t="str">
        <f aca="false">"-51.8"</f>
        <v>-51.8</v>
      </c>
    </row>
    <row r="123" customFormat="false" ht="12.8" hidden="false" customHeight="false" outlineLevel="0" collapsed="false">
      <c r="A123" s="0" t="s">
        <v>1516</v>
      </c>
      <c r="B123" s="0" t="s">
        <v>13</v>
      </c>
      <c r="C123" s="0" t="str">
        <f aca="false">"204-215"</f>
        <v>204-215</v>
      </c>
      <c r="D123" s="0" t="s">
        <v>13</v>
      </c>
      <c r="E123" s="0" t="str">
        <f aca="false">"253-264"</f>
        <v>253-264</v>
      </c>
      <c r="F123" s="0" t="s">
        <v>1638</v>
      </c>
      <c r="G123" s="0" t="s">
        <v>9</v>
      </c>
      <c r="H123" s="0" t="str">
        <f aca="false">"76-87"</f>
        <v>76-87</v>
      </c>
      <c r="I123" s="0" t="s">
        <v>9</v>
      </c>
      <c r="J123" s="0" t="str">
        <f aca="false">"135-146"</f>
        <v>135-146</v>
      </c>
      <c r="K123" s="0" t="str">
        <f aca="false">"1.19"</f>
        <v>1.19</v>
      </c>
      <c r="L123" s="0" t="str">
        <f aca="false">"9.78"</f>
        <v>9.78</v>
      </c>
      <c r="M123" s="0" t="str">
        <f aca="false">"-50.9"</f>
        <v>-50.9</v>
      </c>
    </row>
    <row r="124" customFormat="false" ht="12.8" hidden="false" customHeight="false" outlineLevel="0" collapsed="false">
      <c r="A124" s="0" t="s">
        <v>1516</v>
      </c>
      <c r="B124" s="0" t="s">
        <v>13</v>
      </c>
      <c r="C124" s="0" t="str">
        <f aca="false">"207-218"</f>
        <v>207-218</v>
      </c>
      <c r="D124" s="0" t="s">
        <v>13</v>
      </c>
      <c r="E124" s="0" t="str">
        <f aca="false">"255-266"</f>
        <v>255-266</v>
      </c>
      <c r="F124" s="0" t="s">
        <v>1639</v>
      </c>
      <c r="G124" s="0" t="s">
        <v>9</v>
      </c>
      <c r="H124" s="0" t="str">
        <f aca="false">"3-14"</f>
        <v>3-14</v>
      </c>
      <c r="I124" s="0" t="s">
        <v>13</v>
      </c>
      <c r="J124" s="0" t="str">
        <f aca="false">"113-124"</f>
        <v>113-124</v>
      </c>
      <c r="K124" s="0" t="str">
        <f aca="false">"0.68"</f>
        <v>0.68</v>
      </c>
      <c r="L124" s="0" t="str">
        <f aca="false">"9.85"</f>
        <v>9.85</v>
      </c>
      <c r="M124" s="0" t="str">
        <f aca="false">"-46.0"</f>
        <v>-46.0</v>
      </c>
    </row>
    <row r="125" customFormat="false" ht="12.8" hidden="false" customHeight="false" outlineLevel="0" collapsed="false">
      <c r="A125" s="0" t="s">
        <v>1516</v>
      </c>
      <c r="B125" s="0" t="s">
        <v>13</v>
      </c>
      <c r="C125" s="0" t="str">
        <f aca="false">"203-214"</f>
        <v>203-214</v>
      </c>
      <c r="D125" s="0" t="s">
        <v>13</v>
      </c>
      <c r="E125" s="0" t="str">
        <f aca="false">"251-262"</f>
        <v>251-262</v>
      </c>
      <c r="F125" s="0" t="s">
        <v>1640</v>
      </c>
      <c r="G125" s="0" t="s">
        <v>9</v>
      </c>
      <c r="H125" s="0" t="str">
        <f aca="false">"150-161"</f>
        <v>150-161</v>
      </c>
      <c r="I125" s="0" t="s">
        <v>9</v>
      </c>
      <c r="J125" s="0" t="str">
        <f aca="false">"96-107"</f>
        <v>96-107</v>
      </c>
      <c r="K125" s="0" t="str">
        <f aca="false">"1.13"</f>
        <v>1.13</v>
      </c>
      <c r="L125" s="0" t="str">
        <f aca="false">"8.80"</f>
        <v>8.80</v>
      </c>
      <c r="M125" s="0" t="str">
        <f aca="false">"-48.3"</f>
        <v>-48.3</v>
      </c>
    </row>
    <row r="126" customFormat="false" ht="12.8" hidden="false" customHeight="false" outlineLevel="0" collapsed="false">
      <c r="A126" s="0" t="s">
        <v>1516</v>
      </c>
      <c r="B126" s="0" t="s">
        <v>13</v>
      </c>
      <c r="C126" s="0" t="str">
        <f aca="false">"208-219"</f>
        <v>208-219</v>
      </c>
      <c r="D126" s="0" t="s">
        <v>13</v>
      </c>
      <c r="E126" s="0" t="str">
        <f aca="false">"253-264"</f>
        <v>253-264</v>
      </c>
      <c r="F126" s="0" t="s">
        <v>1641</v>
      </c>
      <c r="G126" s="0" t="s">
        <v>120</v>
      </c>
      <c r="H126" s="0" t="str">
        <f aca="false">"164-175"</f>
        <v>164-175</v>
      </c>
      <c r="I126" s="0" t="s">
        <v>120</v>
      </c>
      <c r="J126" s="0" t="str">
        <f aca="false">"127-138"</f>
        <v>127-138</v>
      </c>
      <c r="K126" s="0" t="str">
        <f aca="false">"0.98"</f>
        <v>0.98</v>
      </c>
      <c r="L126" s="0" t="str">
        <f aca="false">"10.55"</f>
        <v>10.55</v>
      </c>
      <c r="M126" s="0" t="str">
        <f aca="false">"-30.9"</f>
        <v>-30.9</v>
      </c>
    </row>
    <row r="127" customFormat="false" ht="12.8" hidden="false" customHeight="false" outlineLevel="0" collapsed="false">
      <c r="A127" s="0" t="s">
        <v>1516</v>
      </c>
      <c r="B127" s="0" t="s">
        <v>13</v>
      </c>
      <c r="C127" s="0" t="str">
        <f aca="false">"205-216"</f>
        <v>205-216</v>
      </c>
      <c r="D127" s="0" t="s">
        <v>13</v>
      </c>
      <c r="E127" s="0" t="str">
        <f aca="false">"252-263"</f>
        <v>252-263</v>
      </c>
      <c r="F127" s="0" t="s">
        <v>1642</v>
      </c>
      <c r="G127" s="0" t="s">
        <v>24</v>
      </c>
      <c r="H127" s="0" t="str">
        <f aca="false">"289-300"</f>
        <v>289-300</v>
      </c>
      <c r="I127" s="0" t="s">
        <v>24</v>
      </c>
      <c r="J127" s="0" t="str">
        <f aca="false">"14-25"</f>
        <v>14-25</v>
      </c>
      <c r="K127" s="0" t="str">
        <f aca="false">"0.86"</f>
        <v>0.86</v>
      </c>
      <c r="L127" s="0" t="str">
        <f aca="false">"9.21"</f>
        <v>9.21</v>
      </c>
      <c r="M127" s="0" t="str">
        <f aca="false">"-53.8"</f>
        <v>-53.8</v>
      </c>
    </row>
    <row r="128" customFormat="false" ht="12.8" hidden="false" customHeight="false" outlineLevel="0" collapsed="false">
      <c r="A128" s="0" t="s">
        <v>1516</v>
      </c>
      <c r="B128" s="0" t="s">
        <v>13</v>
      </c>
      <c r="C128" s="0" t="str">
        <f aca="false">"207-218"</f>
        <v>207-218</v>
      </c>
      <c r="D128" s="0" t="s">
        <v>13</v>
      </c>
      <c r="E128" s="0" t="str">
        <f aca="false">"252-263"</f>
        <v>252-263</v>
      </c>
      <c r="F128" s="0" t="s">
        <v>1643</v>
      </c>
      <c r="G128" s="0" t="s">
        <v>13</v>
      </c>
      <c r="H128" s="0" t="str">
        <f aca="false">"34-45"</f>
        <v>34-45</v>
      </c>
      <c r="I128" s="0" t="s">
        <v>13</v>
      </c>
      <c r="J128" s="0" t="str">
        <f aca="false">"74-85"</f>
        <v>74-85</v>
      </c>
      <c r="K128" s="0" t="str">
        <f aca="false">"0.49"</f>
        <v>0.49</v>
      </c>
      <c r="L128" s="0" t="str">
        <f aca="false">"8.98"</f>
        <v>8.98</v>
      </c>
      <c r="M128" s="0" t="str">
        <f aca="false">"-36.9"</f>
        <v>-36.9</v>
      </c>
    </row>
    <row r="129" customFormat="false" ht="12.8" hidden="false" customHeight="false" outlineLevel="0" collapsed="false">
      <c r="A129" s="0" t="s">
        <v>1516</v>
      </c>
      <c r="B129" s="0" t="s">
        <v>13</v>
      </c>
      <c r="C129" s="0" t="str">
        <f aca="false">"203-214"</f>
        <v>203-214</v>
      </c>
      <c r="D129" s="0" t="s">
        <v>13</v>
      </c>
      <c r="E129" s="0" t="str">
        <f aca="false">"249-260"</f>
        <v>249-260</v>
      </c>
      <c r="F129" s="0" t="s">
        <v>1644</v>
      </c>
      <c r="G129" s="0" t="s">
        <v>24</v>
      </c>
      <c r="H129" s="0" t="str">
        <f aca="false">"403-414"</f>
        <v>403-414</v>
      </c>
      <c r="I129" s="0" t="s">
        <v>24</v>
      </c>
      <c r="J129" s="0" t="str">
        <f aca="false">"344-355"</f>
        <v>344-355</v>
      </c>
      <c r="K129" s="0" t="str">
        <f aca="false">"0.95"</f>
        <v>0.95</v>
      </c>
      <c r="L129" s="0" t="str">
        <f aca="false">"8.66"</f>
        <v>8.66</v>
      </c>
      <c r="M129" s="0" t="str">
        <f aca="false">"-29.7"</f>
        <v>-29.7</v>
      </c>
    </row>
    <row r="130" customFormat="false" ht="12.8" hidden="false" customHeight="false" outlineLevel="0" collapsed="false">
      <c r="A130" s="0" t="s">
        <v>1516</v>
      </c>
      <c r="B130" s="0" t="s">
        <v>13</v>
      </c>
      <c r="C130" s="0" t="str">
        <f aca="false">"204-215"</f>
        <v>204-215</v>
      </c>
      <c r="D130" s="0" t="s">
        <v>13</v>
      </c>
      <c r="E130" s="0" t="str">
        <f aca="false">"247-258"</f>
        <v>247-258</v>
      </c>
      <c r="F130" s="0" t="s">
        <v>1645</v>
      </c>
      <c r="G130" s="0" t="s">
        <v>70</v>
      </c>
      <c r="H130" s="0" t="str">
        <f aca="false">"80-91"</f>
        <v>80-91</v>
      </c>
      <c r="I130" s="0" t="s">
        <v>70</v>
      </c>
      <c r="J130" s="0" t="str">
        <f aca="false">"46-57"</f>
        <v>46-57</v>
      </c>
      <c r="K130" s="0" t="str">
        <f aca="false">"1.11"</f>
        <v>1.11</v>
      </c>
      <c r="L130" s="0" t="str">
        <f aca="false">"9.37"</f>
        <v>9.37</v>
      </c>
      <c r="M130" s="0" t="str">
        <f aca="false">"-35.2"</f>
        <v>-35.2</v>
      </c>
    </row>
    <row r="131" customFormat="false" ht="12.8" hidden="false" customHeight="false" outlineLevel="0" collapsed="false">
      <c r="A131" s="0" t="s">
        <v>1516</v>
      </c>
      <c r="B131" s="0" t="s">
        <v>13</v>
      </c>
      <c r="C131" s="0" t="str">
        <f aca="false">"208-219"</f>
        <v>208-219</v>
      </c>
      <c r="D131" s="0" t="s">
        <v>13</v>
      </c>
      <c r="E131" s="0" t="str">
        <f aca="false">"255-266"</f>
        <v>255-266</v>
      </c>
      <c r="F131" s="0" t="s">
        <v>1646</v>
      </c>
      <c r="G131" s="0" t="s">
        <v>9</v>
      </c>
      <c r="H131" s="0" t="str">
        <f aca="false">"14-25"</f>
        <v>14-25</v>
      </c>
      <c r="I131" s="0" t="s">
        <v>9</v>
      </c>
      <c r="J131" s="0" t="str">
        <f aca="false">"55-66"</f>
        <v>55-66</v>
      </c>
      <c r="K131" s="0" t="str">
        <f aca="false">"1.22"</f>
        <v>1.22</v>
      </c>
      <c r="L131" s="0" t="str">
        <f aca="false">"11.16"</f>
        <v>11.16</v>
      </c>
      <c r="M131" s="0" t="str">
        <f aca="false">"-37.0"</f>
        <v>-37.0</v>
      </c>
    </row>
    <row r="132" customFormat="false" ht="12.8" hidden="false" customHeight="false" outlineLevel="0" collapsed="false">
      <c r="A132" s="0" t="s">
        <v>1516</v>
      </c>
      <c r="B132" s="0" t="s">
        <v>13</v>
      </c>
      <c r="C132" s="0" t="str">
        <f aca="false">"204-215"</f>
        <v>204-215</v>
      </c>
      <c r="D132" s="0" t="s">
        <v>13</v>
      </c>
      <c r="E132" s="0" t="str">
        <f aca="false">"251-262"</f>
        <v>251-262</v>
      </c>
      <c r="F132" s="0" t="s">
        <v>1647</v>
      </c>
      <c r="G132" s="0" t="s">
        <v>9</v>
      </c>
      <c r="H132" s="0" t="str">
        <f aca="false">"97-108"</f>
        <v>97-108</v>
      </c>
      <c r="I132" s="0" t="s">
        <v>9</v>
      </c>
      <c r="J132" s="0" t="str">
        <f aca="false">"59-70"</f>
        <v>59-70</v>
      </c>
      <c r="K132" s="0" t="str">
        <f aca="false">"1.00"</f>
        <v>1.00</v>
      </c>
      <c r="L132" s="0" t="str">
        <f aca="false">"10.12"</f>
        <v>10.12</v>
      </c>
      <c r="M132" s="0" t="str">
        <f aca="false">"-49.9"</f>
        <v>-49.9</v>
      </c>
    </row>
    <row r="133" customFormat="false" ht="12.8" hidden="false" customHeight="false" outlineLevel="0" collapsed="false">
      <c r="A133" s="0" t="s">
        <v>1516</v>
      </c>
      <c r="B133" s="0" t="s">
        <v>13</v>
      </c>
      <c r="C133" s="0" t="str">
        <f aca="false">"205-216"</f>
        <v>205-216</v>
      </c>
      <c r="D133" s="0" t="s">
        <v>13</v>
      </c>
      <c r="E133" s="0" t="str">
        <f aca="false">"252-263"</f>
        <v>252-263</v>
      </c>
      <c r="F133" s="0" t="s">
        <v>1648</v>
      </c>
      <c r="G133" s="0" t="s">
        <v>13</v>
      </c>
      <c r="H133" s="0" t="str">
        <f aca="false">"45-56"</f>
        <v>45-56</v>
      </c>
      <c r="I133" s="0" t="s">
        <v>13</v>
      </c>
      <c r="J133" s="0" t="str">
        <f aca="false">"8-19"</f>
        <v>8-19</v>
      </c>
      <c r="K133" s="0" t="str">
        <f aca="false">"0.85"</f>
        <v>0.85</v>
      </c>
      <c r="L133" s="0" t="str">
        <f aca="false">"9.76"</f>
        <v>9.76</v>
      </c>
      <c r="M133" s="0" t="str">
        <f aca="false">"-55.8"</f>
        <v>-55.8</v>
      </c>
    </row>
    <row r="134" customFormat="false" ht="12.8" hidden="false" customHeight="false" outlineLevel="0" collapsed="false">
      <c r="A134" s="0" t="s">
        <v>1516</v>
      </c>
      <c r="B134" s="0" t="s">
        <v>13</v>
      </c>
      <c r="C134" s="0" t="str">
        <f aca="false">"202-213"</f>
        <v>202-213</v>
      </c>
      <c r="D134" s="0" t="s">
        <v>13</v>
      </c>
      <c r="E134" s="0" t="str">
        <f aca="false">"247-258"</f>
        <v>247-258</v>
      </c>
      <c r="F134" s="0" t="s">
        <v>1649</v>
      </c>
      <c r="G134" s="0" t="s">
        <v>9</v>
      </c>
      <c r="H134" s="0" t="str">
        <f aca="false">"71-82"</f>
        <v>71-82</v>
      </c>
      <c r="I134" s="0" t="s">
        <v>9</v>
      </c>
      <c r="J134" s="0" t="str">
        <f aca="false">"20-31"</f>
        <v>20-31</v>
      </c>
      <c r="K134" s="0" t="str">
        <f aca="false">"1.01"</f>
        <v>1.01</v>
      </c>
      <c r="L134" s="0" t="str">
        <f aca="false">"8.34"</f>
        <v>8.34</v>
      </c>
      <c r="M134" s="0" t="str">
        <f aca="false">"-43.5"</f>
        <v>-43.5</v>
      </c>
    </row>
    <row r="135" customFormat="false" ht="12.8" hidden="false" customHeight="false" outlineLevel="0" collapsed="false">
      <c r="A135" s="0" t="s">
        <v>1516</v>
      </c>
      <c r="B135" s="0" t="s">
        <v>13</v>
      </c>
      <c r="C135" s="0" t="str">
        <f aca="false">"203-214"</f>
        <v>203-214</v>
      </c>
      <c r="D135" s="0" t="s">
        <v>13</v>
      </c>
      <c r="E135" s="0" t="str">
        <f aca="false">"249-260"</f>
        <v>249-260</v>
      </c>
      <c r="F135" s="0" t="s">
        <v>1650</v>
      </c>
      <c r="G135" s="0" t="s">
        <v>9</v>
      </c>
      <c r="H135" s="0" t="str">
        <f aca="false">"711-722"</f>
        <v>711-722</v>
      </c>
      <c r="I135" s="0" t="s">
        <v>9</v>
      </c>
      <c r="J135" s="0" t="str">
        <f aca="false">"173-184"</f>
        <v>173-184</v>
      </c>
      <c r="K135" s="0" t="str">
        <f aca="false">"1.21"</f>
        <v>1.21</v>
      </c>
      <c r="L135" s="0" t="str">
        <f aca="false">"9.78"</f>
        <v>9.78</v>
      </c>
      <c r="M135" s="0" t="str">
        <f aca="false">"-27.2"</f>
        <v>-27.2</v>
      </c>
    </row>
    <row r="136" customFormat="false" ht="12.8" hidden="false" customHeight="false" outlineLevel="0" collapsed="false">
      <c r="A136" s="0" t="s">
        <v>1516</v>
      </c>
      <c r="B136" s="0" t="s">
        <v>13</v>
      </c>
      <c r="C136" s="0" t="str">
        <f aca="false">"207-218"</f>
        <v>207-218</v>
      </c>
      <c r="D136" s="0" t="s">
        <v>13</v>
      </c>
      <c r="E136" s="0" t="str">
        <f aca="false">"255-266"</f>
        <v>255-266</v>
      </c>
      <c r="F136" s="0" t="s">
        <v>1651</v>
      </c>
      <c r="G136" s="0" t="s">
        <v>9</v>
      </c>
      <c r="H136" s="0" t="str">
        <f aca="false">"287-298"</f>
        <v>287-298</v>
      </c>
      <c r="I136" s="0" t="s">
        <v>24</v>
      </c>
      <c r="J136" s="0" t="str">
        <f aca="false">"331-342"</f>
        <v>331-342</v>
      </c>
      <c r="K136" s="0" t="str">
        <f aca="false">"1.07"</f>
        <v>1.07</v>
      </c>
      <c r="L136" s="0" t="str">
        <f aca="false">"10.45"</f>
        <v>10.45</v>
      </c>
      <c r="M136" s="0" t="str">
        <f aca="false">"-30.9"</f>
        <v>-30.9</v>
      </c>
    </row>
    <row r="137" customFormat="false" ht="12.8" hidden="false" customHeight="false" outlineLevel="0" collapsed="false">
      <c r="A137" s="0" t="s">
        <v>1516</v>
      </c>
      <c r="B137" s="0" t="s">
        <v>13</v>
      </c>
      <c r="C137" s="0" t="str">
        <f aca="false">"203-214"</f>
        <v>203-214</v>
      </c>
      <c r="D137" s="0" t="s">
        <v>13</v>
      </c>
      <c r="E137" s="0" t="str">
        <f aca="false">"248-259"</f>
        <v>248-259</v>
      </c>
      <c r="F137" s="0" t="s">
        <v>1652</v>
      </c>
      <c r="G137" s="0" t="s">
        <v>9</v>
      </c>
      <c r="H137" s="0" t="str">
        <f aca="false">"197-208"</f>
        <v>197-208</v>
      </c>
      <c r="I137" s="0" t="s">
        <v>13</v>
      </c>
      <c r="J137" s="0" t="str">
        <f aca="false">"197-208"</f>
        <v>197-208</v>
      </c>
      <c r="K137" s="0" t="str">
        <f aca="false">"1.20"</f>
        <v>1.20</v>
      </c>
      <c r="L137" s="0" t="str">
        <f aca="false">"8.99"</f>
        <v>8.99</v>
      </c>
      <c r="M137" s="0" t="str">
        <f aca="false">"-30.4"</f>
        <v>-30.4</v>
      </c>
    </row>
    <row r="138" customFormat="false" ht="12.8" hidden="false" customHeight="false" outlineLevel="0" collapsed="false">
      <c r="A138" s="0" t="s">
        <v>1516</v>
      </c>
      <c r="B138" s="0" t="s">
        <v>13</v>
      </c>
      <c r="C138" s="0" t="str">
        <f aca="false">"202-213"</f>
        <v>202-213</v>
      </c>
      <c r="D138" s="0" t="s">
        <v>13</v>
      </c>
      <c r="E138" s="0" t="str">
        <f aca="false">"245-256"</f>
        <v>245-256</v>
      </c>
      <c r="F138" s="0" t="s">
        <v>1653</v>
      </c>
      <c r="G138" s="0" t="s">
        <v>9</v>
      </c>
      <c r="H138" s="0" t="str">
        <f aca="false">"82-93"</f>
        <v>82-93</v>
      </c>
      <c r="I138" s="0" t="s">
        <v>9</v>
      </c>
      <c r="J138" s="0" t="str">
        <f aca="false">"126-137"</f>
        <v>126-137</v>
      </c>
      <c r="K138" s="0" t="str">
        <f aca="false">"0.82"</f>
        <v>0.82</v>
      </c>
      <c r="L138" s="0" t="str">
        <f aca="false">"9.86"</f>
        <v>9.86</v>
      </c>
      <c r="M138" s="0" t="str">
        <f aca="false">"-48.9"</f>
        <v>-48.9</v>
      </c>
    </row>
    <row r="139" customFormat="false" ht="12.8" hidden="false" customHeight="false" outlineLevel="0" collapsed="false">
      <c r="A139" s="0" t="s">
        <v>1516</v>
      </c>
      <c r="B139" s="0" t="s">
        <v>13</v>
      </c>
      <c r="C139" s="0" t="str">
        <f aca="false">"202-213"</f>
        <v>202-213</v>
      </c>
      <c r="D139" s="0" t="s">
        <v>13</v>
      </c>
      <c r="E139" s="0" t="str">
        <f aca="false">"247-258"</f>
        <v>247-258</v>
      </c>
      <c r="F139" s="0" t="s">
        <v>1654</v>
      </c>
      <c r="G139" s="0" t="s">
        <v>9</v>
      </c>
      <c r="H139" s="0" t="str">
        <f aca="false">"30-41"</f>
        <v>30-41</v>
      </c>
      <c r="I139" s="0" t="s">
        <v>9</v>
      </c>
      <c r="J139" s="0" t="str">
        <f aca="false">"146-157"</f>
        <v>146-157</v>
      </c>
      <c r="K139" s="0" t="str">
        <f aca="false">"1.10"</f>
        <v>1.10</v>
      </c>
      <c r="L139" s="0" t="str">
        <f aca="false">"9.10"</f>
        <v>9.10</v>
      </c>
      <c r="M139" s="0" t="str">
        <f aca="false">"-53.0"</f>
        <v>-53.0</v>
      </c>
    </row>
    <row r="140" customFormat="false" ht="12.8" hidden="false" customHeight="false" outlineLevel="0" collapsed="false">
      <c r="A140" s="0" t="s">
        <v>1516</v>
      </c>
      <c r="B140" s="0" t="s">
        <v>13</v>
      </c>
      <c r="C140" s="0" t="str">
        <f aca="false">"204-215"</f>
        <v>204-215</v>
      </c>
      <c r="D140" s="0" t="s">
        <v>13</v>
      </c>
      <c r="E140" s="0" t="str">
        <f aca="false">"247-258"</f>
        <v>247-258</v>
      </c>
      <c r="F140" s="0" t="s">
        <v>1655</v>
      </c>
      <c r="G140" s="0" t="s">
        <v>120</v>
      </c>
      <c r="H140" s="0" t="str">
        <f aca="false">"244-255"</f>
        <v>244-255</v>
      </c>
      <c r="I140" s="0" t="s">
        <v>120</v>
      </c>
      <c r="J140" s="0" t="str">
        <f aca="false">"164-175"</f>
        <v>164-175</v>
      </c>
      <c r="K140" s="0" t="str">
        <f aca="false">"1.24"</f>
        <v>1.24</v>
      </c>
      <c r="L140" s="0" t="str">
        <f aca="false">"9.43"</f>
        <v>9.43</v>
      </c>
      <c r="M140" s="0" t="str">
        <f aca="false">"-53.6"</f>
        <v>-53.6</v>
      </c>
    </row>
    <row r="141" customFormat="false" ht="12.8" hidden="false" customHeight="false" outlineLevel="0" collapsed="false">
      <c r="A141" s="0" t="s">
        <v>1516</v>
      </c>
      <c r="B141" s="0" t="s">
        <v>13</v>
      </c>
      <c r="C141" s="0" t="str">
        <f aca="false">"203-214"</f>
        <v>203-214</v>
      </c>
      <c r="D141" s="0" t="s">
        <v>13</v>
      </c>
      <c r="E141" s="0" t="str">
        <f aca="false">"247-258"</f>
        <v>247-258</v>
      </c>
      <c r="F141" s="0" t="s">
        <v>1656</v>
      </c>
      <c r="G141" s="0" t="s">
        <v>9</v>
      </c>
      <c r="H141" s="0" t="str">
        <f aca="false">"265-276"</f>
        <v>265-276</v>
      </c>
      <c r="I141" s="0" t="s">
        <v>9</v>
      </c>
      <c r="J141" s="0" t="str">
        <f aca="false">"242-253"</f>
        <v>242-253</v>
      </c>
      <c r="K141" s="0" t="str">
        <f aca="false">"1.01"</f>
        <v>1.01</v>
      </c>
      <c r="L141" s="0" t="str">
        <f aca="false">"8.50"</f>
        <v>8.50</v>
      </c>
      <c r="M141" s="0" t="str">
        <f aca="false">"-57.4"</f>
        <v>-57.4</v>
      </c>
    </row>
    <row r="142" customFormat="false" ht="12.8" hidden="false" customHeight="false" outlineLevel="0" collapsed="false">
      <c r="A142" s="0" t="s">
        <v>1516</v>
      </c>
      <c r="B142" s="0" t="s">
        <v>13</v>
      </c>
      <c r="C142" s="0" t="str">
        <f aca="false">"200-211"</f>
        <v>200-211</v>
      </c>
      <c r="D142" s="0" t="s">
        <v>13</v>
      </c>
      <c r="E142" s="0" t="str">
        <f aca="false">"246-257"</f>
        <v>246-257</v>
      </c>
      <c r="F142" s="0" t="s">
        <v>1657</v>
      </c>
      <c r="G142" s="0" t="s">
        <v>13</v>
      </c>
      <c r="H142" s="0" t="str">
        <f aca="false">"98-109"</f>
        <v>98-109</v>
      </c>
      <c r="I142" s="0" t="s">
        <v>13</v>
      </c>
      <c r="J142" s="0" t="str">
        <f aca="false">"76-87"</f>
        <v>76-87</v>
      </c>
      <c r="K142" s="0" t="str">
        <f aca="false">"1.21"</f>
        <v>1.21</v>
      </c>
      <c r="L142" s="0" t="str">
        <f aca="false">"9.13"</f>
        <v>9.13</v>
      </c>
      <c r="M142" s="0" t="str">
        <f aca="false">"-56.9"</f>
        <v>-56.9</v>
      </c>
    </row>
    <row r="143" customFormat="false" ht="12.8" hidden="false" customHeight="false" outlineLevel="0" collapsed="false">
      <c r="A143" s="0" t="s">
        <v>1516</v>
      </c>
      <c r="B143" s="0" t="s">
        <v>13</v>
      </c>
      <c r="C143" s="0" t="str">
        <f aca="false">"202-213"</f>
        <v>202-213</v>
      </c>
      <c r="D143" s="0" t="s">
        <v>13</v>
      </c>
      <c r="E143" s="0" t="str">
        <f aca="false">"249-260"</f>
        <v>249-260</v>
      </c>
      <c r="F143" s="0" t="s">
        <v>1658</v>
      </c>
      <c r="G143" s="0" t="s">
        <v>13</v>
      </c>
      <c r="H143" s="0" t="str">
        <f aca="false">"129-140"</f>
        <v>129-140</v>
      </c>
      <c r="I143" s="0" t="s">
        <v>13</v>
      </c>
      <c r="J143" s="0" t="str">
        <f aca="false">"61-72"</f>
        <v>61-72</v>
      </c>
      <c r="K143" s="0" t="str">
        <f aca="false">"0.99"</f>
        <v>0.99</v>
      </c>
      <c r="L143" s="0" t="str">
        <f aca="false">"9.05"</f>
        <v>9.05</v>
      </c>
      <c r="M143" s="0" t="str">
        <f aca="false">"-56.2"</f>
        <v>-56.2</v>
      </c>
    </row>
    <row r="144" customFormat="false" ht="12.8" hidden="false" customHeight="false" outlineLevel="0" collapsed="false">
      <c r="A144" s="0" t="s">
        <v>1516</v>
      </c>
      <c r="B144" s="0" t="s">
        <v>13</v>
      </c>
      <c r="C144" s="0" t="str">
        <f aca="false">"202-213"</f>
        <v>202-213</v>
      </c>
      <c r="D144" s="0" t="s">
        <v>13</v>
      </c>
      <c r="E144" s="0" t="str">
        <f aca="false">"245-256"</f>
        <v>245-256</v>
      </c>
      <c r="F144" s="0" t="s">
        <v>1659</v>
      </c>
      <c r="G144" s="0" t="s">
        <v>71</v>
      </c>
      <c r="H144" s="0" t="str">
        <f aca="false">"125-136"</f>
        <v>125-136</v>
      </c>
      <c r="I144" s="0" t="s">
        <v>71</v>
      </c>
      <c r="J144" s="0" t="str">
        <f aca="false">"369-380"</f>
        <v>369-380</v>
      </c>
      <c r="K144" s="0" t="str">
        <f aca="false">"1.04"</f>
        <v>1.04</v>
      </c>
      <c r="L144" s="0" t="str">
        <f aca="false">"9.01"</f>
        <v>9.01</v>
      </c>
      <c r="M144" s="0" t="str">
        <f aca="false">"-36.1"</f>
        <v>-36.1</v>
      </c>
    </row>
    <row r="145" customFormat="false" ht="12.8" hidden="false" customHeight="false" outlineLevel="0" collapsed="false">
      <c r="A145" s="0" t="s">
        <v>1516</v>
      </c>
      <c r="B145" s="0" t="s">
        <v>13</v>
      </c>
      <c r="C145" s="0" t="str">
        <f aca="false">"205-216"</f>
        <v>205-216</v>
      </c>
      <c r="D145" s="0" t="s">
        <v>13</v>
      </c>
      <c r="E145" s="0" t="str">
        <f aca="false">"252-263"</f>
        <v>252-263</v>
      </c>
      <c r="F145" s="0" t="s">
        <v>1660</v>
      </c>
      <c r="G145" s="0" t="s">
        <v>9</v>
      </c>
      <c r="H145" s="0" t="str">
        <f aca="false">"390-401"</f>
        <v>390-401</v>
      </c>
      <c r="I145" s="0" t="s">
        <v>9</v>
      </c>
      <c r="J145" s="0" t="str">
        <f aca="false">"12-23"</f>
        <v>12-23</v>
      </c>
      <c r="K145" s="0" t="str">
        <f aca="false">"1.01"</f>
        <v>1.01</v>
      </c>
      <c r="L145" s="0" t="str">
        <f aca="false">"8.71"</f>
        <v>8.71</v>
      </c>
      <c r="M145" s="0" t="str">
        <f aca="false">"-48.5"</f>
        <v>-48.5</v>
      </c>
    </row>
    <row r="146" customFormat="false" ht="12.8" hidden="false" customHeight="false" outlineLevel="0" collapsed="false">
      <c r="A146" s="0" t="s">
        <v>1516</v>
      </c>
      <c r="B146" s="0" t="s">
        <v>13</v>
      </c>
      <c r="C146" s="0" t="str">
        <f aca="false">"204-215"</f>
        <v>204-215</v>
      </c>
      <c r="D146" s="0" t="s">
        <v>13</v>
      </c>
      <c r="E146" s="0" t="str">
        <f aca="false">"252-263"</f>
        <v>252-263</v>
      </c>
      <c r="F146" s="0" t="s">
        <v>1661</v>
      </c>
      <c r="G146" s="0" t="s">
        <v>9</v>
      </c>
      <c r="H146" s="0" t="str">
        <f aca="false">"439-450"</f>
        <v>439-450</v>
      </c>
      <c r="I146" s="0" t="s">
        <v>9</v>
      </c>
      <c r="J146" s="0" t="str">
        <f aca="false">"577-588"</f>
        <v>577-588</v>
      </c>
      <c r="K146" s="0" t="str">
        <f aca="false">"0.99"</f>
        <v>0.99</v>
      </c>
      <c r="L146" s="0" t="str">
        <f aca="false">"9.96"</f>
        <v>9.96</v>
      </c>
      <c r="M146" s="0" t="str">
        <f aca="false">"-50.7"</f>
        <v>-50.7</v>
      </c>
    </row>
    <row r="147" customFormat="false" ht="12.8" hidden="false" customHeight="false" outlineLevel="0" collapsed="false">
      <c r="A147" s="0" t="s">
        <v>1516</v>
      </c>
      <c r="B147" s="0" t="s">
        <v>13</v>
      </c>
      <c r="C147" s="0" t="str">
        <f aca="false">"204-215"</f>
        <v>204-215</v>
      </c>
      <c r="D147" s="0" t="s">
        <v>13</v>
      </c>
      <c r="E147" s="0" t="str">
        <f aca="false">"251-262"</f>
        <v>251-262</v>
      </c>
      <c r="F147" s="0" t="s">
        <v>1662</v>
      </c>
      <c r="G147" s="0" t="s">
        <v>9</v>
      </c>
      <c r="H147" s="0" t="str">
        <f aca="false">"29-40"</f>
        <v>29-40</v>
      </c>
      <c r="I147" s="0" t="s">
        <v>9</v>
      </c>
      <c r="J147" s="0" t="str">
        <f aca="false">"75-86"</f>
        <v>75-86</v>
      </c>
      <c r="K147" s="0" t="str">
        <f aca="false">"0.88"</f>
        <v>0.88</v>
      </c>
      <c r="L147" s="0" t="str">
        <f aca="false">"10.00"</f>
        <v>10.00</v>
      </c>
      <c r="M147" s="0" t="str">
        <f aca="false">"-43.5"</f>
        <v>-43.5</v>
      </c>
    </row>
    <row r="148" customFormat="false" ht="12.8" hidden="false" customHeight="false" outlineLevel="0" collapsed="false">
      <c r="A148" s="0" t="s">
        <v>1516</v>
      </c>
      <c r="B148" s="0" t="s">
        <v>13</v>
      </c>
      <c r="C148" s="0" t="str">
        <f aca="false">"204-215"</f>
        <v>204-215</v>
      </c>
      <c r="D148" s="0" t="s">
        <v>13</v>
      </c>
      <c r="E148" s="0" t="str">
        <f aca="false">"248-259"</f>
        <v>248-259</v>
      </c>
      <c r="F148" s="0" t="s">
        <v>1663</v>
      </c>
      <c r="G148" s="0" t="s">
        <v>9</v>
      </c>
      <c r="H148" s="0" t="str">
        <f aca="false">"31-42"</f>
        <v>31-42</v>
      </c>
      <c r="I148" s="0" t="s">
        <v>9</v>
      </c>
      <c r="J148" s="0" t="str">
        <f aca="false">"171-182"</f>
        <v>171-182</v>
      </c>
      <c r="K148" s="0" t="str">
        <f aca="false">"1.04"</f>
        <v>1.04</v>
      </c>
      <c r="L148" s="0" t="str">
        <f aca="false">"8.40"</f>
        <v>8.40</v>
      </c>
      <c r="M148" s="0" t="str">
        <f aca="false">"-58.4"</f>
        <v>-58.4</v>
      </c>
    </row>
    <row r="149" customFormat="false" ht="12.8" hidden="false" customHeight="false" outlineLevel="0" collapsed="false">
      <c r="A149" s="0" t="s">
        <v>1516</v>
      </c>
      <c r="B149" s="0" t="s">
        <v>13</v>
      </c>
      <c r="C149" s="0" t="str">
        <f aca="false">"200-211"</f>
        <v>200-211</v>
      </c>
      <c r="D149" s="0" t="s">
        <v>13</v>
      </c>
      <c r="E149" s="0" t="str">
        <f aca="false">"249-260"</f>
        <v>249-260</v>
      </c>
      <c r="F149" s="0" t="s">
        <v>1664</v>
      </c>
      <c r="G149" s="0" t="s">
        <v>13</v>
      </c>
      <c r="H149" s="0" t="str">
        <f aca="false">"688-699"</f>
        <v>688-699</v>
      </c>
      <c r="I149" s="0" t="s">
        <v>13</v>
      </c>
      <c r="J149" s="0" t="str">
        <f aca="false">"649-660"</f>
        <v>649-660</v>
      </c>
      <c r="K149" s="0" t="str">
        <f aca="false">"0.99"</f>
        <v>0.99</v>
      </c>
      <c r="L149" s="0" t="str">
        <f aca="false">"10.91"</f>
        <v>10.91</v>
      </c>
      <c r="M149" s="0" t="str">
        <f aca="false">"-45.7"</f>
        <v>-45.7</v>
      </c>
    </row>
    <row r="150" customFormat="false" ht="12.8" hidden="false" customHeight="false" outlineLevel="0" collapsed="false">
      <c r="A150" s="0" t="s">
        <v>1516</v>
      </c>
      <c r="B150" s="0" t="s">
        <v>13</v>
      </c>
      <c r="C150" s="0" t="str">
        <f aca="false">"204-215"</f>
        <v>204-215</v>
      </c>
      <c r="D150" s="0" t="s">
        <v>13</v>
      </c>
      <c r="E150" s="0" t="str">
        <f aca="false">"245-256"</f>
        <v>245-256</v>
      </c>
      <c r="F150" s="0" t="s">
        <v>1665</v>
      </c>
      <c r="G150" s="0" t="s">
        <v>120</v>
      </c>
      <c r="H150" s="0" t="str">
        <f aca="false">"177-188"</f>
        <v>177-188</v>
      </c>
      <c r="I150" s="0" t="s">
        <v>120</v>
      </c>
      <c r="J150" s="0" t="str">
        <f aca="false">"207-218"</f>
        <v>207-218</v>
      </c>
      <c r="K150" s="0" t="str">
        <f aca="false">"1.05"</f>
        <v>1.05</v>
      </c>
      <c r="L150" s="0" t="str">
        <f aca="false">"10.79"</f>
        <v>10.79</v>
      </c>
      <c r="M150" s="0" t="str">
        <f aca="false">"-30.1"</f>
        <v>-30.1</v>
      </c>
    </row>
    <row r="151" customFormat="false" ht="12.8" hidden="false" customHeight="false" outlineLevel="0" collapsed="false">
      <c r="A151" s="0" t="s">
        <v>1516</v>
      </c>
      <c r="B151" s="0" t="s">
        <v>13</v>
      </c>
      <c r="C151" s="0" t="str">
        <f aca="false">"207-218"</f>
        <v>207-218</v>
      </c>
      <c r="D151" s="0" t="s">
        <v>13</v>
      </c>
      <c r="E151" s="0" t="str">
        <f aca="false">"249-260"</f>
        <v>249-260</v>
      </c>
      <c r="F151" s="0" t="s">
        <v>1666</v>
      </c>
      <c r="G151" s="0" t="s">
        <v>120</v>
      </c>
      <c r="H151" s="0" t="str">
        <f aca="false">"148-159"</f>
        <v>148-159</v>
      </c>
      <c r="I151" s="0" t="s">
        <v>120</v>
      </c>
      <c r="J151" s="0" t="str">
        <f aca="false">"179-190"</f>
        <v>179-190</v>
      </c>
      <c r="K151" s="0" t="str">
        <f aca="false">"0.89"</f>
        <v>0.89</v>
      </c>
      <c r="L151" s="0" t="str">
        <f aca="false">"10.37"</f>
        <v>10.37</v>
      </c>
      <c r="M151" s="0" t="str">
        <f aca="false">"-44.1"</f>
        <v>-44.1</v>
      </c>
    </row>
    <row r="152" customFormat="false" ht="12.8" hidden="false" customHeight="false" outlineLevel="0" collapsed="false">
      <c r="A152" s="0" t="s">
        <v>1516</v>
      </c>
      <c r="B152" s="0" t="s">
        <v>13</v>
      </c>
      <c r="C152" s="0" t="str">
        <f aca="false">"201-212"</f>
        <v>201-212</v>
      </c>
      <c r="D152" s="0" t="s">
        <v>13</v>
      </c>
      <c r="E152" s="0" t="str">
        <f aca="false">"246-257"</f>
        <v>246-257</v>
      </c>
      <c r="F152" s="0" t="s">
        <v>1667</v>
      </c>
      <c r="G152" s="0" t="s">
        <v>9</v>
      </c>
      <c r="H152" s="0" t="str">
        <f aca="false">"67-78"</f>
        <v>67-78</v>
      </c>
      <c r="I152" s="0" t="s">
        <v>9</v>
      </c>
      <c r="J152" s="0" t="str">
        <f aca="false">"32-43"</f>
        <v>32-43</v>
      </c>
      <c r="K152" s="0" t="str">
        <f aca="false">"0.73"</f>
        <v>0.73</v>
      </c>
      <c r="L152" s="0" t="str">
        <f aca="false">"8.77"</f>
        <v>8.77</v>
      </c>
      <c r="M152" s="0" t="str">
        <f aca="false">"-40.4"</f>
        <v>-40.4</v>
      </c>
    </row>
    <row r="153" customFormat="false" ht="12.8" hidden="false" customHeight="false" outlineLevel="0" collapsed="false">
      <c r="A153" s="0" t="s">
        <v>1516</v>
      </c>
      <c r="B153" s="0" t="s">
        <v>13</v>
      </c>
      <c r="C153" s="0" t="str">
        <f aca="false">"202-213"</f>
        <v>202-213</v>
      </c>
      <c r="D153" s="0" t="s">
        <v>13</v>
      </c>
      <c r="E153" s="0" t="str">
        <f aca="false">"250-261"</f>
        <v>250-261</v>
      </c>
      <c r="F153" s="0" t="s">
        <v>1668</v>
      </c>
      <c r="G153" s="0" t="s">
        <v>13</v>
      </c>
      <c r="H153" s="0" t="str">
        <f aca="false">"65-76"</f>
        <v>65-76</v>
      </c>
      <c r="I153" s="0" t="s">
        <v>13</v>
      </c>
      <c r="J153" s="0" t="str">
        <f aca="false">"114-125"</f>
        <v>114-125</v>
      </c>
      <c r="K153" s="0" t="str">
        <f aca="false">"1.13"</f>
        <v>1.13</v>
      </c>
      <c r="L153" s="0" t="str">
        <f aca="false">"9.92"</f>
        <v>9.92</v>
      </c>
      <c r="M153" s="0" t="str">
        <f aca="false">"-34.5"</f>
        <v>-34.5</v>
      </c>
    </row>
    <row r="154" customFormat="false" ht="12.8" hidden="false" customHeight="false" outlineLevel="0" collapsed="false">
      <c r="A154" s="0" t="s">
        <v>1516</v>
      </c>
      <c r="B154" s="0" t="s">
        <v>13</v>
      </c>
      <c r="C154" s="0" t="str">
        <f aca="false">"207-218"</f>
        <v>207-218</v>
      </c>
      <c r="D154" s="0" t="s">
        <v>13</v>
      </c>
      <c r="E154" s="0" t="str">
        <f aca="false">"251-262"</f>
        <v>251-262</v>
      </c>
      <c r="F154" s="0" t="s">
        <v>1669</v>
      </c>
      <c r="G154" s="0" t="s">
        <v>9</v>
      </c>
      <c r="H154" s="0" t="str">
        <f aca="false">"160-171"</f>
        <v>160-171</v>
      </c>
      <c r="I154" s="0" t="s">
        <v>9</v>
      </c>
      <c r="J154" s="0" t="str">
        <f aca="false">"257-268"</f>
        <v>257-268</v>
      </c>
      <c r="K154" s="0" t="str">
        <f aca="false">"1.21"</f>
        <v>1.21</v>
      </c>
      <c r="L154" s="0" t="str">
        <f aca="false">"10.39"</f>
        <v>10.39</v>
      </c>
      <c r="M154" s="0" t="str">
        <f aca="false">"-50.0"</f>
        <v>-50.0</v>
      </c>
    </row>
    <row r="155" customFormat="false" ht="12.8" hidden="false" customHeight="false" outlineLevel="0" collapsed="false">
      <c r="A155" s="0" t="s">
        <v>1516</v>
      </c>
      <c r="B155" s="0" t="s">
        <v>13</v>
      </c>
      <c r="C155" s="0" t="str">
        <f aca="false">"203-214"</f>
        <v>203-214</v>
      </c>
      <c r="D155" s="0" t="s">
        <v>13</v>
      </c>
      <c r="E155" s="0" t="str">
        <f aca="false">"248-259"</f>
        <v>248-259</v>
      </c>
      <c r="F155" s="0" t="s">
        <v>1670</v>
      </c>
      <c r="G155" s="0" t="s">
        <v>13</v>
      </c>
      <c r="H155" s="0" t="str">
        <f aca="false">"265-276"</f>
        <v>265-276</v>
      </c>
      <c r="I155" s="0" t="s">
        <v>13</v>
      </c>
      <c r="J155" s="0" t="str">
        <f aca="false">"91-102"</f>
        <v>91-102</v>
      </c>
      <c r="K155" s="0" t="str">
        <f aca="false">"1.03"</f>
        <v>1.03</v>
      </c>
      <c r="L155" s="0" t="str">
        <f aca="false">"9.12"</f>
        <v>9.12</v>
      </c>
      <c r="M155" s="0" t="str">
        <f aca="false">"-49.9"</f>
        <v>-49.9</v>
      </c>
    </row>
    <row r="156" customFormat="false" ht="12.8" hidden="false" customHeight="false" outlineLevel="0" collapsed="false">
      <c r="A156" s="0" t="s">
        <v>1516</v>
      </c>
      <c r="B156" s="0" t="s">
        <v>13</v>
      </c>
      <c r="C156" s="0" t="str">
        <f aca="false">"201-212"</f>
        <v>201-212</v>
      </c>
      <c r="D156" s="0" t="s">
        <v>13</v>
      </c>
      <c r="E156" s="0" t="str">
        <f aca="false">"245-256"</f>
        <v>245-256</v>
      </c>
      <c r="F156" s="0" t="s">
        <v>1671</v>
      </c>
      <c r="G156" s="0" t="s">
        <v>9</v>
      </c>
      <c r="H156" s="0" t="str">
        <f aca="false">"190-201"</f>
        <v>190-201</v>
      </c>
      <c r="I156" s="0" t="s">
        <v>9</v>
      </c>
      <c r="J156" s="0" t="str">
        <f aca="false">"233-244"</f>
        <v>233-244</v>
      </c>
      <c r="K156" s="0" t="str">
        <f aca="false">"1.10"</f>
        <v>1.10</v>
      </c>
      <c r="L156" s="0" t="str">
        <f aca="false">"8.70"</f>
        <v>8.70</v>
      </c>
      <c r="M156" s="0" t="str">
        <f aca="false">"-57.2"</f>
        <v>-57.2</v>
      </c>
    </row>
    <row r="157" customFormat="false" ht="12.8" hidden="false" customHeight="false" outlineLevel="0" collapsed="false">
      <c r="A157" s="0" t="s">
        <v>1516</v>
      </c>
      <c r="B157" s="0" t="s">
        <v>13</v>
      </c>
      <c r="C157" s="0" t="str">
        <f aca="false">"206-217"</f>
        <v>206-217</v>
      </c>
      <c r="D157" s="0" t="s">
        <v>13</v>
      </c>
      <c r="E157" s="0" t="str">
        <f aca="false">"249-260"</f>
        <v>249-260</v>
      </c>
      <c r="F157" s="0" t="s">
        <v>1672</v>
      </c>
      <c r="G157" s="0" t="s">
        <v>9</v>
      </c>
      <c r="H157" s="0" t="str">
        <f aca="false">"38-49"</f>
        <v>38-49</v>
      </c>
      <c r="I157" s="0" t="s">
        <v>9</v>
      </c>
      <c r="J157" s="0" t="str">
        <f aca="false">"68-79"</f>
        <v>68-79</v>
      </c>
      <c r="K157" s="0" t="str">
        <f aca="false">"0.96"</f>
        <v>0.96</v>
      </c>
      <c r="L157" s="0" t="str">
        <f aca="false">"8.77"</f>
        <v>8.77</v>
      </c>
      <c r="M157" s="0" t="str">
        <f aca="false">"-58.0"</f>
        <v>-58.0</v>
      </c>
    </row>
    <row r="158" customFormat="false" ht="12.8" hidden="false" customHeight="false" outlineLevel="0" collapsed="false">
      <c r="A158" s="0" t="s">
        <v>1516</v>
      </c>
      <c r="B158" s="0" t="s">
        <v>13</v>
      </c>
      <c r="C158" s="0" t="str">
        <f aca="false">"208-219"</f>
        <v>208-219</v>
      </c>
      <c r="D158" s="0" t="s">
        <v>13</v>
      </c>
      <c r="E158" s="0" t="str">
        <f aca="false">"255-266"</f>
        <v>255-266</v>
      </c>
      <c r="F158" s="0" t="s">
        <v>1673</v>
      </c>
      <c r="G158" s="0" t="s">
        <v>9</v>
      </c>
      <c r="H158" s="0" t="str">
        <f aca="false">"387-398"</f>
        <v>387-398</v>
      </c>
      <c r="I158" s="0" t="s">
        <v>9</v>
      </c>
      <c r="J158" s="0" t="str">
        <f aca="false">"347-358"</f>
        <v>347-358</v>
      </c>
      <c r="K158" s="0" t="str">
        <f aca="false">"1.10"</f>
        <v>1.10</v>
      </c>
      <c r="L158" s="0" t="str">
        <f aca="false">"10.56"</f>
        <v>10.56</v>
      </c>
      <c r="M158" s="0" t="str">
        <f aca="false">"-47.4"</f>
        <v>-47.4</v>
      </c>
    </row>
    <row r="159" customFormat="false" ht="12.8" hidden="false" customHeight="false" outlineLevel="0" collapsed="false">
      <c r="A159" s="0" t="s">
        <v>1516</v>
      </c>
      <c r="B159" s="0" t="s">
        <v>13</v>
      </c>
      <c r="C159" s="0" t="str">
        <f aca="false">"204-215"</f>
        <v>204-215</v>
      </c>
      <c r="D159" s="0" t="s">
        <v>13</v>
      </c>
      <c r="E159" s="0" t="str">
        <f aca="false">"254-265"</f>
        <v>254-265</v>
      </c>
      <c r="F159" s="0" t="s">
        <v>1674</v>
      </c>
      <c r="G159" s="0" t="s">
        <v>13</v>
      </c>
      <c r="H159" s="0" t="str">
        <f aca="false">"173-184"</f>
        <v>173-184</v>
      </c>
      <c r="I159" s="0" t="s">
        <v>9</v>
      </c>
      <c r="J159" s="0" t="str">
        <f aca="false">"152-163"</f>
        <v>152-163</v>
      </c>
      <c r="K159" s="0" t="str">
        <f aca="false">"1.03"</f>
        <v>1.03</v>
      </c>
      <c r="L159" s="0" t="str">
        <f aca="false">"9.99"</f>
        <v>9.99</v>
      </c>
      <c r="M159" s="0" t="str">
        <f aca="false">"-60.6"</f>
        <v>-60.6</v>
      </c>
    </row>
    <row r="160" customFormat="false" ht="12.8" hidden="false" customHeight="false" outlineLevel="0" collapsed="false">
      <c r="A160" s="0" t="s">
        <v>1516</v>
      </c>
      <c r="B160" s="0" t="s">
        <v>13</v>
      </c>
      <c r="C160" s="0" t="str">
        <f aca="false">"207-218"</f>
        <v>207-218</v>
      </c>
      <c r="D160" s="0" t="s">
        <v>13</v>
      </c>
      <c r="E160" s="0" t="str">
        <f aca="false">"248-259"</f>
        <v>248-259</v>
      </c>
      <c r="F160" s="0" t="s">
        <v>1675</v>
      </c>
      <c r="G160" s="0" t="s">
        <v>9</v>
      </c>
      <c r="H160" s="0" t="str">
        <f aca="false">"369-380"</f>
        <v>369-380</v>
      </c>
      <c r="I160" s="0" t="s">
        <v>9</v>
      </c>
      <c r="J160" s="0" t="str">
        <f aca="false">"411-422"</f>
        <v>411-422</v>
      </c>
      <c r="K160" s="0" t="str">
        <f aca="false">"1.10"</f>
        <v>1.10</v>
      </c>
      <c r="L160" s="0" t="str">
        <f aca="false">"11.07"</f>
        <v>11.07</v>
      </c>
      <c r="M160" s="0" t="str">
        <f aca="false">"-44.1"</f>
        <v>-44.1</v>
      </c>
    </row>
    <row r="161" customFormat="false" ht="12.8" hidden="false" customHeight="false" outlineLevel="0" collapsed="false">
      <c r="A161" s="0" t="s">
        <v>1516</v>
      </c>
      <c r="B161" s="0" t="s">
        <v>13</v>
      </c>
      <c r="C161" s="0" t="str">
        <f aca="false">"207-218"</f>
        <v>207-218</v>
      </c>
      <c r="D161" s="0" t="s">
        <v>13</v>
      </c>
      <c r="E161" s="0" t="str">
        <f aca="false">"249-260"</f>
        <v>249-260</v>
      </c>
      <c r="F161" s="0" t="s">
        <v>1676</v>
      </c>
      <c r="G161" s="0" t="s">
        <v>9</v>
      </c>
      <c r="H161" s="0" t="str">
        <f aca="false">"615-626"</f>
        <v>615-626</v>
      </c>
      <c r="I161" s="0" t="s">
        <v>9</v>
      </c>
      <c r="J161" s="0" t="str">
        <f aca="false">"455-466"</f>
        <v>455-466</v>
      </c>
      <c r="K161" s="0" t="str">
        <f aca="false">"1.12"</f>
        <v>1.12</v>
      </c>
      <c r="L161" s="0" t="str">
        <f aca="false">"9.56"</f>
        <v>9.56</v>
      </c>
      <c r="M161" s="0" t="str">
        <f aca="false">"-41.6"</f>
        <v>-41.6</v>
      </c>
    </row>
    <row r="162" customFormat="false" ht="12.8" hidden="false" customHeight="false" outlineLevel="0" collapsed="false">
      <c r="A162" s="0" t="s">
        <v>1516</v>
      </c>
      <c r="B162" s="0" t="s">
        <v>13</v>
      </c>
      <c r="C162" s="0" t="str">
        <f aca="false">"200-211"</f>
        <v>200-211</v>
      </c>
      <c r="D162" s="0" t="s">
        <v>13</v>
      </c>
      <c r="E162" s="0" t="str">
        <f aca="false">"249-260"</f>
        <v>249-260</v>
      </c>
      <c r="F162" s="0" t="s">
        <v>1677</v>
      </c>
      <c r="G162" s="0" t="s">
        <v>9</v>
      </c>
      <c r="H162" s="0" t="str">
        <f aca="false">"503-514"</f>
        <v>503-514</v>
      </c>
      <c r="I162" s="0" t="s">
        <v>9</v>
      </c>
      <c r="J162" s="0" t="str">
        <f aca="false">"545-556"</f>
        <v>545-556</v>
      </c>
      <c r="K162" s="0" t="str">
        <f aca="false">"1.20"</f>
        <v>1.20</v>
      </c>
      <c r="L162" s="0" t="str">
        <f aca="false">"9.69"</f>
        <v>9.69</v>
      </c>
      <c r="M162" s="0" t="str">
        <f aca="false">"-32.0"</f>
        <v>-32.0</v>
      </c>
    </row>
    <row r="163" customFormat="false" ht="12.8" hidden="false" customHeight="false" outlineLevel="0" collapsed="false">
      <c r="A163" s="0" t="s">
        <v>1516</v>
      </c>
      <c r="B163" s="0" t="s">
        <v>13</v>
      </c>
      <c r="C163" s="0" t="str">
        <f aca="false">"206-217"</f>
        <v>206-217</v>
      </c>
      <c r="D163" s="0" t="s">
        <v>13</v>
      </c>
      <c r="E163" s="0" t="str">
        <f aca="false">"249-260"</f>
        <v>249-260</v>
      </c>
      <c r="F163" s="0" t="s">
        <v>1678</v>
      </c>
      <c r="G163" s="0" t="s">
        <v>9</v>
      </c>
      <c r="H163" s="0" t="str">
        <f aca="false">"187-198"</f>
        <v>187-198</v>
      </c>
      <c r="I163" s="0" t="s">
        <v>9</v>
      </c>
      <c r="J163" s="0" t="str">
        <f aca="false">"212-223"</f>
        <v>212-223</v>
      </c>
      <c r="K163" s="0" t="str">
        <f aca="false">"1.24"</f>
        <v>1.24</v>
      </c>
      <c r="L163" s="0" t="str">
        <f aca="false">"10.24"</f>
        <v>10.24</v>
      </c>
      <c r="M163" s="0" t="str">
        <f aca="false">"-58.4"</f>
        <v>-58.4</v>
      </c>
    </row>
    <row r="164" customFormat="false" ht="12.8" hidden="false" customHeight="false" outlineLevel="0" collapsed="false">
      <c r="A164" s="0" t="s">
        <v>1516</v>
      </c>
      <c r="B164" s="0" t="s">
        <v>13</v>
      </c>
      <c r="C164" s="0" t="str">
        <f aca="false">"200-211"</f>
        <v>200-211</v>
      </c>
      <c r="D164" s="0" t="s">
        <v>13</v>
      </c>
      <c r="E164" s="0" t="str">
        <f aca="false">"247-258"</f>
        <v>247-258</v>
      </c>
      <c r="F164" s="0" t="s">
        <v>1679</v>
      </c>
      <c r="G164" s="0" t="s">
        <v>13</v>
      </c>
      <c r="H164" s="0" t="str">
        <f aca="false">"803-814"</f>
        <v>803-814</v>
      </c>
      <c r="I164" s="0" t="s">
        <v>13</v>
      </c>
      <c r="J164" s="0" t="str">
        <f aca="false">"839-850"</f>
        <v>839-850</v>
      </c>
      <c r="K164" s="0" t="str">
        <f aca="false">"1.25"</f>
        <v>1.25</v>
      </c>
      <c r="L164" s="0" t="str">
        <f aca="false">"10.54"</f>
        <v>10.54</v>
      </c>
      <c r="M164" s="0" t="str">
        <f aca="false">"-43.5"</f>
        <v>-43.5</v>
      </c>
    </row>
    <row r="165" customFormat="false" ht="12.8" hidden="false" customHeight="false" outlineLevel="0" collapsed="false">
      <c r="A165" s="0" t="s">
        <v>1516</v>
      </c>
      <c r="B165" s="0" t="s">
        <v>13</v>
      </c>
      <c r="C165" s="0" t="str">
        <f aca="false">"206-217"</f>
        <v>206-217</v>
      </c>
      <c r="D165" s="0" t="s">
        <v>13</v>
      </c>
      <c r="E165" s="0" t="str">
        <f aca="false">"249-260"</f>
        <v>249-260</v>
      </c>
      <c r="F165" s="0" t="s">
        <v>1680</v>
      </c>
      <c r="G165" s="0" t="s">
        <v>9</v>
      </c>
      <c r="H165" s="0" t="str">
        <f aca="false">"111-122"</f>
        <v>111-122</v>
      </c>
      <c r="I165" s="0" t="s">
        <v>9</v>
      </c>
      <c r="J165" s="0" t="str">
        <f aca="false">"141-152"</f>
        <v>141-152</v>
      </c>
      <c r="K165" s="0" t="str">
        <f aca="false">"1.04"</f>
        <v>1.04</v>
      </c>
      <c r="L165" s="0" t="str">
        <f aca="false">"10.36"</f>
        <v>10.36</v>
      </c>
      <c r="M165" s="0" t="str">
        <f aca="false">"-30.7"</f>
        <v>-30.7</v>
      </c>
    </row>
    <row r="166" customFormat="false" ht="12.8" hidden="false" customHeight="false" outlineLevel="0" collapsed="false">
      <c r="A166" s="0" t="s">
        <v>1516</v>
      </c>
      <c r="B166" s="0" t="s">
        <v>13</v>
      </c>
      <c r="C166" s="0" t="str">
        <f aca="false">"206-217"</f>
        <v>206-217</v>
      </c>
      <c r="D166" s="0" t="s">
        <v>13</v>
      </c>
      <c r="E166" s="0" t="str">
        <f aca="false">"249-260"</f>
        <v>249-260</v>
      </c>
      <c r="F166" s="0" t="s">
        <v>1681</v>
      </c>
      <c r="G166" s="0" t="s">
        <v>9</v>
      </c>
      <c r="H166" s="0" t="str">
        <f aca="false">"80-91"</f>
        <v>80-91</v>
      </c>
      <c r="I166" s="0" t="s">
        <v>9</v>
      </c>
      <c r="J166" s="0" t="str">
        <f aca="false">"109-120"</f>
        <v>109-120</v>
      </c>
      <c r="K166" s="0" t="str">
        <f aca="false">"1.01"</f>
        <v>1.01</v>
      </c>
      <c r="L166" s="0" t="str">
        <f aca="false">"9.87"</f>
        <v>9.87</v>
      </c>
      <c r="M166" s="0" t="str">
        <f aca="false">"-30.0"</f>
        <v>-30.0</v>
      </c>
    </row>
    <row r="167" customFormat="false" ht="12.8" hidden="false" customHeight="false" outlineLevel="0" collapsed="false">
      <c r="A167" s="0" t="s">
        <v>1516</v>
      </c>
      <c r="B167" s="0" t="s">
        <v>13</v>
      </c>
      <c r="C167" s="0" t="str">
        <f aca="false">"206-217"</f>
        <v>206-217</v>
      </c>
      <c r="D167" s="0" t="s">
        <v>13</v>
      </c>
      <c r="E167" s="0" t="str">
        <f aca="false">"248-259"</f>
        <v>248-259</v>
      </c>
      <c r="F167" s="0" t="s">
        <v>1682</v>
      </c>
      <c r="G167" s="0" t="s">
        <v>13</v>
      </c>
      <c r="H167" s="0" t="str">
        <f aca="false">"91-102"</f>
        <v>91-102</v>
      </c>
      <c r="I167" s="0" t="s">
        <v>9</v>
      </c>
      <c r="J167" s="0" t="str">
        <f aca="false">"116-127"</f>
        <v>116-127</v>
      </c>
      <c r="K167" s="0" t="str">
        <f aca="false">"0.94"</f>
        <v>0.94</v>
      </c>
      <c r="L167" s="0" t="str">
        <f aca="false">"8.95"</f>
        <v>8.95</v>
      </c>
      <c r="M167" s="0" t="str">
        <f aca="false">"-41.7"</f>
        <v>-41.7</v>
      </c>
    </row>
    <row r="168" customFormat="false" ht="12.8" hidden="false" customHeight="false" outlineLevel="0" collapsed="false">
      <c r="A168" s="0" t="s">
        <v>1516</v>
      </c>
      <c r="B168" s="0" t="s">
        <v>13</v>
      </c>
      <c r="C168" s="0" t="str">
        <f aca="false">"203-214"</f>
        <v>203-214</v>
      </c>
      <c r="D168" s="0" t="s">
        <v>13</v>
      </c>
      <c r="E168" s="0" t="str">
        <f aca="false">"253-264"</f>
        <v>253-264</v>
      </c>
      <c r="F168" s="0" t="s">
        <v>1683</v>
      </c>
      <c r="G168" s="0" t="s">
        <v>9</v>
      </c>
      <c r="H168" s="0" t="str">
        <f aca="false">"596-607"</f>
        <v>596-607</v>
      </c>
      <c r="I168" s="0" t="s">
        <v>9</v>
      </c>
      <c r="J168" s="0" t="str">
        <f aca="false">"565-576"</f>
        <v>565-576</v>
      </c>
      <c r="K168" s="0" t="str">
        <f aca="false">"1.20"</f>
        <v>1.20</v>
      </c>
      <c r="L168" s="0" t="str">
        <f aca="false">"9.63"</f>
        <v>9.63</v>
      </c>
      <c r="M168" s="0" t="str">
        <f aca="false">"-34.5"</f>
        <v>-34.5</v>
      </c>
    </row>
    <row r="169" customFormat="false" ht="12.8" hidden="false" customHeight="false" outlineLevel="0" collapsed="false">
      <c r="A169" s="0" t="s">
        <v>1516</v>
      </c>
      <c r="B169" s="0" t="s">
        <v>13</v>
      </c>
      <c r="C169" s="0" t="str">
        <f aca="false">"208-219"</f>
        <v>208-219</v>
      </c>
      <c r="D169" s="0" t="s">
        <v>13</v>
      </c>
      <c r="E169" s="0" t="str">
        <f aca="false">"252-263"</f>
        <v>252-263</v>
      </c>
      <c r="F169" s="0" t="s">
        <v>1684</v>
      </c>
      <c r="G169" s="0" t="s">
        <v>9</v>
      </c>
      <c r="H169" s="0" t="str">
        <f aca="false">"233-244"</f>
        <v>233-244</v>
      </c>
      <c r="I169" s="0" t="s">
        <v>9</v>
      </c>
      <c r="J169" s="0" t="str">
        <f aca="false">"276-287"</f>
        <v>276-287</v>
      </c>
      <c r="K169" s="0" t="str">
        <f aca="false">"1.09"</f>
        <v>1.09</v>
      </c>
      <c r="L169" s="0" t="str">
        <f aca="false">"9.97"</f>
        <v>9.97</v>
      </c>
      <c r="M169" s="0" t="str">
        <f aca="false">"-33.2"</f>
        <v>-33.2</v>
      </c>
    </row>
    <row r="170" customFormat="false" ht="12.8" hidden="false" customHeight="false" outlineLevel="0" collapsed="false">
      <c r="A170" s="0" t="s">
        <v>1516</v>
      </c>
      <c r="B170" s="0" t="s">
        <v>13</v>
      </c>
      <c r="C170" s="0" t="str">
        <f aca="false">"203-214"</f>
        <v>203-214</v>
      </c>
      <c r="D170" s="0" t="s">
        <v>13</v>
      </c>
      <c r="E170" s="0" t="str">
        <f aca="false">"253-264"</f>
        <v>253-264</v>
      </c>
      <c r="F170" s="0" t="s">
        <v>1685</v>
      </c>
      <c r="G170" s="0" t="s">
        <v>13</v>
      </c>
      <c r="H170" s="0" t="str">
        <f aca="false">"8-19"</f>
        <v>8-19</v>
      </c>
      <c r="I170" s="0" t="s">
        <v>13</v>
      </c>
      <c r="J170" s="0" t="str">
        <f aca="false">"393-404"</f>
        <v>393-404</v>
      </c>
      <c r="K170" s="0" t="str">
        <f aca="false">"1.05"</f>
        <v>1.05</v>
      </c>
      <c r="L170" s="0" t="str">
        <f aca="false">"10.51"</f>
        <v>10.51</v>
      </c>
      <c r="M170" s="0" t="str">
        <f aca="false">"-40.8"</f>
        <v>-40.8</v>
      </c>
    </row>
    <row r="171" customFormat="false" ht="12.8" hidden="false" customHeight="false" outlineLevel="0" collapsed="false">
      <c r="A171" s="0" t="s">
        <v>1516</v>
      </c>
      <c r="B171" s="0" t="s">
        <v>13</v>
      </c>
      <c r="C171" s="0" t="str">
        <f aca="false">"206-217"</f>
        <v>206-217</v>
      </c>
      <c r="D171" s="0" t="s">
        <v>13</v>
      </c>
      <c r="E171" s="0" t="str">
        <f aca="false">"249-260"</f>
        <v>249-260</v>
      </c>
      <c r="F171" s="0" t="s">
        <v>1686</v>
      </c>
      <c r="G171" s="0" t="s">
        <v>9</v>
      </c>
      <c r="H171" s="0" t="str">
        <f aca="false">"88-99"</f>
        <v>88-99</v>
      </c>
      <c r="I171" s="0" t="s">
        <v>9</v>
      </c>
      <c r="J171" s="0" t="str">
        <f aca="false">"117-128"</f>
        <v>117-128</v>
      </c>
      <c r="K171" s="0" t="str">
        <f aca="false">"1.05"</f>
        <v>1.05</v>
      </c>
      <c r="L171" s="0" t="str">
        <f aca="false">"9.59"</f>
        <v>9.59</v>
      </c>
      <c r="M171" s="0" t="str">
        <f aca="false">"-27.3"</f>
        <v>-27.3</v>
      </c>
    </row>
    <row r="172" customFormat="false" ht="12.8" hidden="false" customHeight="false" outlineLevel="0" collapsed="false">
      <c r="A172" s="0" t="s">
        <v>1516</v>
      </c>
      <c r="B172" s="0" t="s">
        <v>13</v>
      </c>
      <c r="C172" s="0" t="str">
        <f aca="false">"202-213"</f>
        <v>202-213</v>
      </c>
      <c r="D172" s="0" t="s">
        <v>13</v>
      </c>
      <c r="E172" s="0" t="str">
        <f aca="false">"254-265"</f>
        <v>254-265</v>
      </c>
      <c r="F172" s="0" t="s">
        <v>1687</v>
      </c>
      <c r="G172" s="0" t="s">
        <v>9</v>
      </c>
      <c r="H172" s="0" t="str">
        <f aca="false">"346-357"</f>
        <v>346-357</v>
      </c>
      <c r="I172" s="0" t="s">
        <v>9</v>
      </c>
      <c r="J172" s="0" t="str">
        <f aca="false">"462-473"</f>
        <v>462-473</v>
      </c>
      <c r="K172" s="0" t="str">
        <f aca="false">"1.18"</f>
        <v>1.18</v>
      </c>
      <c r="L172" s="0" t="str">
        <f aca="false">"13.06"</f>
        <v>13.06</v>
      </c>
      <c r="M172" s="0" t="str">
        <f aca="false">"-44.7"</f>
        <v>-44.7</v>
      </c>
    </row>
    <row r="173" customFormat="false" ht="12.8" hidden="false" customHeight="false" outlineLevel="0" collapsed="false">
      <c r="A173" s="0" t="s">
        <v>1516</v>
      </c>
      <c r="B173" s="0" t="s">
        <v>13</v>
      </c>
      <c r="C173" s="0" t="str">
        <f aca="false">"206-217"</f>
        <v>206-217</v>
      </c>
      <c r="D173" s="0" t="s">
        <v>13</v>
      </c>
      <c r="E173" s="0" t="str">
        <f aca="false">"245-256"</f>
        <v>245-256</v>
      </c>
      <c r="F173" s="0" t="s">
        <v>1688</v>
      </c>
      <c r="G173" s="0" t="s">
        <v>9</v>
      </c>
      <c r="H173" s="0" t="str">
        <f aca="false">"55-66"</f>
        <v>55-66</v>
      </c>
      <c r="I173" s="0" t="s">
        <v>9</v>
      </c>
      <c r="J173" s="0" t="str">
        <f aca="false">"103-114"</f>
        <v>103-114</v>
      </c>
      <c r="K173" s="0" t="str">
        <f aca="false">"1.21"</f>
        <v>1.21</v>
      </c>
      <c r="L173" s="0" t="str">
        <f aca="false">"13.49"</f>
        <v>13.49</v>
      </c>
      <c r="M173" s="0" t="str">
        <f aca="false">"-39.2"</f>
        <v>-39.2</v>
      </c>
    </row>
    <row r="174" customFormat="false" ht="12.8" hidden="false" customHeight="false" outlineLevel="0" collapsed="false">
      <c r="A174" s="0" t="s">
        <v>1516</v>
      </c>
      <c r="B174" s="0" t="s">
        <v>13</v>
      </c>
      <c r="C174" s="0" t="str">
        <f aca="false">"201-212"</f>
        <v>201-212</v>
      </c>
      <c r="D174" s="0" t="s">
        <v>13</v>
      </c>
      <c r="E174" s="0" t="str">
        <f aca="false">"249-260"</f>
        <v>249-260</v>
      </c>
      <c r="F174" s="0" t="s">
        <v>1689</v>
      </c>
      <c r="G174" s="0" t="s">
        <v>13</v>
      </c>
      <c r="H174" s="0" t="str">
        <f aca="false">"281-292"</f>
        <v>281-292</v>
      </c>
      <c r="I174" s="0" t="s">
        <v>13</v>
      </c>
      <c r="J174" s="0" t="str">
        <f aca="false">"57-68"</f>
        <v>57-68</v>
      </c>
      <c r="K174" s="0" t="str">
        <f aca="false">"0.76"</f>
        <v>0.76</v>
      </c>
      <c r="L174" s="0" t="str">
        <f aca="false">"9.21"</f>
        <v>9.21</v>
      </c>
      <c r="M174" s="0" t="str">
        <f aca="false">"-50.3"</f>
        <v>-50.3</v>
      </c>
    </row>
    <row r="175" customFormat="false" ht="12.8" hidden="false" customHeight="false" outlineLevel="0" collapsed="false">
      <c r="A175" s="0" t="s">
        <v>1516</v>
      </c>
      <c r="B175" s="0" t="s">
        <v>13</v>
      </c>
      <c r="C175" s="0" t="str">
        <f aca="false">"204-215"</f>
        <v>204-215</v>
      </c>
      <c r="D175" s="0" t="s">
        <v>13</v>
      </c>
      <c r="E175" s="0" t="str">
        <f aca="false">"255-266"</f>
        <v>255-266</v>
      </c>
      <c r="F175" s="0" t="s">
        <v>1690</v>
      </c>
      <c r="G175" s="0" t="s">
        <v>9</v>
      </c>
      <c r="H175" s="0" t="str">
        <f aca="false">"100-111"</f>
        <v>100-111</v>
      </c>
      <c r="I175" s="0" t="s">
        <v>9</v>
      </c>
      <c r="J175" s="0" t="str">
        <f aca="false">"122-133"</f>
        <v>122-133</v>
      </c>
      <c r="K175" s="0" t="str">
        <f aca="false">"0.98"</f>
        <v>0.98</v>
      </c>
      <c r="L175" s="0" t="str">
        <f aca="false">"11.26"</f>
        <v>11.26</v>
      </c>
      <c r="M175" s="0" t="str">
        <f aca="false">"-40.8"</f>
        <v>-40.8</v>
      </c>
    </row>
    <row r="176" customFormat="false" ht="12.8" hidden="false" customHeight="false" outlineLevel="0" collapsed="false">
      <c r="A176" s="0" t="s">
        <v>1516</v>
      </c>
      <c r="B176" s="0" t="s">
        <v>13</v>
      </c>
      <c r="C176" s="0" t="str">
        <f aca="false">"207-218"</f>
        <v>207-218</v>
      </c>
      <c r="D176" s="0" t="s">
        <v>13</v>
      </c>
      <c r="E176" s="0" t="str">
        <f aca="false">"246-257"</f>
        <v>246-257</v>
      </c>
      <c r="F176" s="0" t="s">
        <v>1691</v>
      </c>
      <c r="G176" s="0" t="s">
        <v>13</v>
      </c>
      <c r="H176" s="0" t="str">
        <f aca="false">"129-140"</f>
        <v>129-140</v>
      </c>
      <c r="I176" s="0" t="s">
        <v>9</v>
      </c>
      <c r="J176" s="0" t="str">
        <f aca="false">"19-30"</f>
        <v>19-30</v>
      </c>
      <c r="K176" s="0" t="str">
        <f aca="false">"1.24"</f>
        <v>1.24</v>
      </c>
      <c r="L176" s="0" t="str">
        <f aca="false">"13.20"</f>
        <v>13.20</v>
      </c>
      <c r="M176" s="0" t="str">
        <f aca="false">"-43.0"</f>
        <v>-43.0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7"/>
  <sheetViews>
    <sheetView windowProtection="false"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1938775510204"/>
    <col collapsed="false" hidden="false" max="2" min="2" style="0" width="6.95408163265306"/>
    <col collapsed="false" hidden="false" max="3" min="3" style="0" width="5.87755102040816"/>
    <col collapsed="false" hidden="false" max="4" min="4" style="0" width="6.95408163265306"/>
    <col collapsed="false" hidden="false" max="5" min="5" style="0" width="6.82142857142857"/>
    <col collapsed="false" hidden="false" max="6" min="6" style="0" width="13.7040816326531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41836734693878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1692</v>
      </c>
      <c r="B2" s="0" t="s">
        <v>9</v>
      </c>
      <c r="C2" s="0" t="str">
        <f aca="false">"27-38"</f>
        <v>27-38</v>
      </c>
      <c r="D2" s="0" t="s">
        <v>9</v>
      </c>
      <c r="E2" s="0" t="str">
        <f aca="false">"91-102"</f>
        <v>91-102</v>
      </c>
      <c r="F2" s="0" t="s">
        <v>1693</v>
      </c>
      <c r="G2" s="0" t="s">
        <v>13</v>
      </c>
      <c r="H2" s="0" t="str">
        <f aca="false">"98-109"</f>
        <v>98-109</v>
      </c>
      <c r="I2" s="0" t="s">
        <v>13</v>
      </c>
      <c r="J2" s="0" t="str">
        <f aca="false">"161-172"</f>
        <v>161-172</v>
      </c>
      <c r="K2" s="0" t="str">
        <f aca="false">"1.24"</f>
        <v>1.24</v>
      </c>
      <c r="L2" s="0" t="str">
        <f aca="false">"11.84"</f>
        <v>11.84</v>
      </c>
      <c r="M2" s="0" t="str">
        <f aca="false">"-152.4"</f>
        <v>-152.4</v>
      </c>
    </row>
    <row r="3" customFormat="false" ht="12.8" hidden="false" customHeight="false" outlineLevel="0" collapsed="false">
      <c r="A3" s="0" t="s">
        <v>1692</v>
      </c>
      <c r="B3" s="0" t="s">
        <v>9</v>
      </c>
      <c r="C3" s="0" t="str">
        <f aca="false">"27-38"</f>
        <v>27-38</v>
      </c>
      <c r="D3" s="0" t="s">
        <v>9</v>
      </c>
      <c r="E3" s="0" t="str">
        <f aca="false">"91-102"</f>
        <v>91-102</v>
      </c>
      <c r="F3" s="0" t="s">
        <v>1694</v>
      </c>
      <c r="G3" s="0" t="s">
        <v>13</v>
      </c>
      <c r="H3" s="0" t="str">
        <f aca="false">"206-217"</f>
        <v>206-217</v>
      </c>
      <c r="I3" s="0" t="s">
        <v>13</v>
      </c>
      <c r="J3" s="0" t="str">
        <f aca="false">"170-181"</f>
        <v>170-181</v>
      </c>
      <c r="K3" s="0" t="str">
        <f aca="false">"1.21"</f>
        <v>1.21</v>
      </c>
      <c r="L3" s="0" t="str">
        <f aca="false">"10.89"</f>
        <v>10.89</v>
      </c>
      <c r="M3" s="0" t="str">
        <f aca="false">"-124.6"</f>
        <v>-124.6</v>
      </c>
    </row>
    <row r="4" customFormat="false" ht="12.8" hidden="false" customHeight="false" outlineLevel="0" collapsed="false">
      <c r="A4" s="0" t="s">
        <v>1692</v>
      </c>
      <c r="B4" s="0" t="s">
        <v>9</v>
      </c>
      <c r="C4" s="0" t="str">
        <f aca="false">"23-34"</f>
        <v>23-34</v>
      </c>
      <c r="D4" s="0" t="s">
        <v>9</v>
      </c>
      <c r="E4" s="0" t="str">
        <f aca="false">"95-106"</f>
        <v>95-106</v>
      </c>
      <c r="F4" s="0" t="s">
        <v>1695</v>
      </c>
      <c r="G4" s="0" t="s">
        <v>24</v>
      </c>
      <c r="H4" s="0" t="str">
        <f aca="false">"180-191"</f>
        <v>180-191</v>
      </c>
      <c r="I4" s="0" t="s">
        <v>13</v>
      </c>
      <c r="J4" s="0" t="str">
        <f aca="false">"131-142"</f>
        <v>131-142</v>
      </c>
      <c r="K4" s="0" t="str">
        <f aca="false">"1.06"</f>
        <v>1.06</v>
      </c>
      <c r="L4" s="0" t="str">
        <f aca="false">"11.40"</f>
        <v>11.40</v>
      </c>
      <c r="M4" s="0" t="str">
        <f aca="false">"-141.0"</f>
        <v>-141.0</v>
      </c>
    </row>
    <row r="5" customFormat="false" ht="12.8" hidden="false" customHeight="false" outlineLevel="0" collapsed="false">
      <c r="A5" s="0" t="s">
        <v>1692</v>
      </c>
      <c r="B5" s="0" t="s">
        <v>9</v>
      </c>
      <c r="C5" s="0" t="str">
        <f aca="false">"24-35"</f>
        <v>24-35</v>
      </c>
      <c r="D5" s="0" t="s">
        <v>9</v>
      </c>
      <c r="E5" s="0" t="str">
        <f aca="false">"94-105"</f>
        <v>94-105</v>
      </c>
      <c r="F5" s="0" t="s">
        <v>1696</v>
      </c>
      <c r="G5" s="0" t="s">
        <v>9</v>
      </c>
      <c r="H5" s="0" t="str">
        <f aca="false">"157-168"</f>
        <v>157-168</v>
      </c>
      <c r="I5" s="0" t="s">
        <v>9</v>
      </c>
      <c r="J5" s="0" t="str">
        <f aca="false">"177-188"</f>
        <v>177-188</v>
      </c>
      <c r="K5" s="0" t="str">
        <f aca="false">"1.14"</f>
        <v>1.14</v>
      </c>
      <c r="L5" s="0" t="str">
        <f aca="false">"10.21"</f>
        <v>10.21</v>
      </c>
      <c r="M5" s="0" t="str">
        <f aca="false">"-147.7"</f>
        <v>-147.7</v>
      </c>
    </row>
    <row r="6" customFormat="false" ht="12.8" hidden="false" customHeight="false" outlineLevel="0" collapsed="false">
      <c r="A6" s="0" t="s">
        <v>1692</v>
      </c>
      <c r="B6" s="0" t="s">
        <v>9</v>
      </c>
      <c r="C6" s="0" t="str">
        <f aca="false">"23-34"</f>
        <v>23-34</v>
      </c>
      <c r="D6" s="0" t="s">
        <v>9</v>
      </c>
      <c r="E6" s="0" t="str">
        <f aca="false">"95-106"</f>
        <v>95-106</v>
      </c>
      <c r="F6" s="0" t="s">
        <v>1697</v>
      </c>
      <c r="G6" s="0" t="s">
        <v>9</v>
      </c>
      <c r="H6" s="0" t="str">
        <f aca="false">"54-65"</f>
        <v>54-65</v>
      </c>
      <c r="I6" s="0" t="s">
        <v>9</v>
      </c>
      <c r="J6" s="0" t="str">
        <f aca="false">"134-145"</f>
        <v>134-145</v>
      </c>
      <c r="K6" s="0" t="str">
        <f aca="false">"0.96"</f>
        <v>0.96</v>
      </c>
      <c r="L6" s="0" t="str">
        <f aca="false">"10.23"</f>
        <v>10.23</v>
      </c>
      <c r="M6" s="0" t="str">
        <f aca="false">"-144.4"</f>
        <v>-144.4</v>
      </c>
    </row>
    <row r="7" customFormat="false" ht="12.8" hidden="false" customHeight="false" outlineLevel="0" collapsed="false">
      <c r="A7" s="0" t="s">
        <v>1692</v>
      </c>
      <c r="B7" s="0" t="s">
        <v>9</v>
      </c>
      <c r="C7" s="0" t="str">
        <f aca="false">"23-34"</f>
        <v>23-34</v>
      </c>
      <c r="D7" s="0" t="s">
        <v>9</v>
      </c>
      <c r="E7" s="0" t="str">
        <f aca="false">"94-105"</f>
        <v>94-105</v>
      </c>
      <c r="F7" s="0" t="s">
        <v>1698</v>
      </c>
      <c r="G7" s="0" t="s">
        <v>9</v>
      </c>
      <c r="H7" s="0" t="str">
        <f aca="false">"147-158"</f>
        <v>147-158</v>
      </c>
      <c r="I7" s="0" t="s">
        <v>9</v>
      </c>
      <c r="J7" s="0" t="str">
        <f aca="false">"94-105"</f>
        <v>94-105</v>
      </c>
      <c r="K7" s="0" t="str">
        <f aca="false">"1.05"</f>
        <v>1.05</v>
      </c>
      <c r="L7" s="0" t="str">
        <f aca="false">"11.31"</f>
        <v>11.31</v>
      </c>
      <c r="M7" s="0" t="str">
        <f aca="false">"-140.5"</f>
        <v>-140.5</v>
      </c>
    </row>
    <row r="8" customFormat="false" ht="12.8" hidden="false" customHeight="false" outlineLevel="0" collapsed="false">
      <c r="A8" s="0" t="s">
        <v>1692</v>
      </c>
      <c r="B8" s="0" t="s">
        <v>9</v>
      </c>
      <c r="C8" s="0" t="str">
        <f aca="false">"27-38"</f>
        <v>27-38</v>
      </c>
      <c r="D8" s="0" t="s">
        <v>9</v>
      </c>
      <c r="E8" s="0" t="str">
        <f aca="false">"91-102"</f>
        <v>91-102</v>
      </c>
      <c r="F8" s="0" t="s">
        <v>19</v>
      </c>
      <c r="G8" s="0" t="s">
        <v>9</v>
      </c>
      <c r="H8" s="0" t="str">
        <f aca="false">"1706-1717"</f>
        <v>1706-1717</v>
      </c>
      <c r="I8" s="0" t="s">
        <v>9</v>
      </c>
      <c r="J8" s="0" t="str">
        <f aca="false">"1674-1685"</f>
        <v>1674-1685</v>
      </c>
      <c r="K8" s="0" t="str">
        <f aca="false">"1.17"</f>
        <v>1.17</v>
      </c>
      <c r="L8" s="0" t="str">
        <f aca="false">"12.37"</f>
        <v>12.37</v>
      </c>
      <c r="M8" s="0" t="str">
        <f aca="false">"-152.2"</f>
        <v>-152.2</v>
      </c>
    </row>
    <row r="9" customFormat="false" ht="12.8" hidden="false" customHeight="false" outlineLevel="0" collapsed="false">
      <c r="A9" s="0" t="s">
        <v>1692</v>
      </c>
      <c r="B9" s="0" t="s">
        <v>9</v>
      </c>
      <c r="C9" s="0" t="str">
        <f aca="false">"27-38"</f>
        <v>27-38</v>
      </c>
      <c r="D9" s="0" t="s">
        <v>9</v>
      </c>
      <c r="E9" s="0" t="str">
        <f aca="false">"91-102"</f>
        <v>91-102</v>
      </c>
      <c r="F9" s="0" t="s">
        <v>20</v>
      </c>
      <c r="G9" s="0" t="s">
        <v>9</v>
      </c>
      <c r="H9" s="0" t="str">
        <f aca="false">"26-37"</f>
        <v>26-37</v>
      </c>
      <c r="I9" s="0" t="s">
        <v>9</v>
      </c>
      <c r="J9" s="0" t="str">
        <f aca="false">"114-125"</f>
        <v>114-125</v>
      </c>
      <c r="K9" s="0" t="str">
        <f aca="false">"1.01"</f>
        <v>1.01</v>
      </c>
      <c r="L9" s="0" t="str">
        <f aca="false">"10.87"</f>
        <v>10.87</v>
      </c>
      <c r="M9" s="0" t="str">
        <f aca="false">"-160.3"</f>
        <v>-160.3</v>
      </c>
    </row>
    <row r="10" customFormat="false" ht="12.8" hidden="false" customHeight="false" outlineLevel="0" collapsed="false">
      <c r="A10" s="0" t="s">
        <v>1692</v>
      </c>
      <c r="B10" s="0" t="s">
        <v>9</v>
      </c>
      <c r="C10" s="0" t="str">
        <f aca="false">"27-38"</f>
        <v>27-38</v>
      </c>
      <c r="D10" s="0" t="s">
        <v>9</v>
      </c>
      <c r="E10" s="0" t="str">
        <f aca="false">"91-102"</f>
        <v>91-102</v>
      </c>
      <c r="F10" s="0" t="s">
        <v>1699</v>
      </c>
      <c r="G10" s="0" t="s">
        <v>9</v>
      </c>
      <c r="H10" s="0" t="str">
        <f aca="false">"198-209"</f>
        <v>198-209</v>
      </c>
      <c r="I10" s="0" t="s">
        <v>9</v>
      </c>
      <c r="J10" s="0" t="str">
        <f aca="false">"296-307"</f>
        <v>296-307</v>
      </c>
      <c r="K10" s="0" t="str">
        <f aca="false">"1.17"</f>
        <v>1.17</v>
      </c>
      <c r="L10" s="0" t="str">
        <f aca="false">"10.74"</f>
        <v>10.74</v>
      </c>
      <c r="M10" s="0" t="str">
        <f aca="false">"-146.7"</f>
        <v>-146.7</v>
      </c>
    </row>
    <row r="11" customFormat="false" ht="12.8" hidden="false" customHeight="false" outlineLevel="0" collapsed="false">
      <c r="A11" s="0" t="s">
        <v>1692</v>
      </c>
      <c r="B11" s="0" t="s">
        <v>9</v>
      </c>
      <c r="C11" s="0" t="str">
        <f aca="false">"27-38"</f>
        <v>27-38</v>
      </c>
      <c r="D11" s="0" t="s">
        <v>9</v>
      </c>
      <c r="E11" s="0" t="str">
        <f aca="false">"91-102"</f>
        <v>91-102</v>
      </c>
      <c r="F11" s="0" t="s">
        <v>1700</v>
      </c>
      <c r="G11" s="0" t="s">
        <v>9</v>
      </c>
      <c r="H11" s="0" t="str">
        <f aca="false">"127-138"</f>
        <v>127-138</v>
      </c>
      <c r="I11" s="0" t="s">
        <v>9</v>
      </c>
      <c r="J11" s="0" t="str">
        <f aca="false">"103-114"</f>
        <v>103-114</v>
      </c>
      <c r="K11" s="0" t="str">
        <f aca="false">"1.15"</f>
        <v>1.15</v>
      </c>
      <c r="L11" s="0" t="str">
        <f aca="false">"10.84"</f>
        <v>10.84</v>
      </c>
      <c r="M11" s="0" t="str">
        <f aca="false">"-160.3"</f>
        <v>-160.3</v>
      </c>
    </row>
    <row r="12" customFormat="false" ht="12.8" hidden="false" customHeight="false" outlineLevel="0" collapsed="false">
      <c r="A12" s="0" t="s">
        <v>1692</v>
      </c>
      <c r="B12" s="0" t="s">
        <v>9</v>
      </c>
      <c r="C12" s="0" t="str">
        <f aca="false">"27-38"</f>
        <v>27-38</v>
      </c>
      <c r="D12" s="0" t="s">
        <v>9</v>
      </c>
      <c r="E12" s="0" t="str">
        <f aca="false">"91-102"</f>
        <v>91-102</v>
      </c>
      <c r="F12" s="0" t="s">
        <v>28</v>
      </c>
      <c r="G12" s="0" t="s">
        <v>9</v>
      </c>
      <c r="H12" s="0" t="str">
        <f aca="false">"33-44"</f>
        <v>33-44</v>
      </c>
      <c r="I12" s="0" t="s">
        <v>9</v>
      </c>
      <c r="J12" s="0" t="str">
        <f aca="false">"160-171"</f>
        <v>160-171</v>
      </c>
      <c r="K12" s="0" t="str">
        <f aca="false">"0.96"</f>
        <v>0.96</v>
      </c>
      <c r="L12" s="0" t="str">
        <f aca="false">"10.67"</f>
        <v>10.67</v>
      </c>
      <c r="M12" s="0" t="str">
        <f aca="false">"-153.6"</f>
        <v>-153.6</v>
      </c>
    </row>
    <row r="13" customFormat="false" ht="12.8" hidden="false" customHeight="false" outlineLevel="0" collapsed="false">
      <c r="A13" s="0" t="s">
        <v>1692</v>
      </c>
      <c r="B13" s="0" t="s">
        <v>9</v>
      </c>
      <c r="C13" s="0" t="str">
        <f aca="false">"27-38"</f>
        <v>27-38</v>
      </c>
      <c r="D13" s="0" t="s">
        <v>9</v>
      </c>
      <c r="E13" s="0" t="str">
        <f aca="false">"91-102"</f>
        <v>91-102</v>
      </c>
      <c r="F13" s="0" t="s">
        <v>1701</v>
      </c>
      <c r="G13" s="0" t="s">
        <v>9</v>
      </c>
      <c r="H13" s="0" t="str">
        <f aca="false">"270-281"</f>
        <v>270-281</v>
      </c>
      <c r="I13" s="0" t="s">
        <v>9</v>
      </c>
      <c r="J13" s="0" t="str">
        <f aca="false">"360-371"</f>
        <v>360-371</v>
      </c>
      <c r="K13" s="0" t="str">
        <f aca="false">"1.19"</f>
        <v>1.19</v>
      </c>
      <c r="L13" s="0" t="str">
        <f aca="false">"11.25"</f>
        <v>11.25</v>
      </c>
      <c r="M13" s="0" t="str">
        <f aca="false">"-149.6"</f>
        <v>-149.6</v>
      </c>
    </row>
    <row r="14" customFormat="false" ht="12.8" hidden="false" customHeight="false" outlineLevel="0" collapsed="false">
      <c r="A14" s="0" t="s">
        <v>1692</v>
      </c>
      <c r="B14" s="0" t="s">
        <v>9</v>
      </c>
      <c r="C14" s="0" t="str">
        <f aca="false">"27-38"</f>
        <v>27-38</v>
      </c>
      <c r="D14" s="0" t="s">
        <v>9</v>
      </c>
      <c r="E14" s="0" t="str">
        <f aca="false">"91-102"</f>
        <v>91-102</v>
      </c>
      <c r="F14" s="0" t="s">
        <v>30</v>
      </c>
      <c r="G14" s="0" t="s">
        <v>13</v>
      </c>
      <c r="H14" s="0" t="str">
        <f aca="false">"114-125"</f>
        <v>114-125</v>
      </c>
      <c r="I14" s="0" t="s">
        <v>13</v>
      </c>
      <c r="J14" s="0" t="str">
        <f aca="false">"430-441"</f>
        <v>430-441</v>
      </c>
      <c r="K14" s="0" t="str">
        <f aca="false">"1.02"</f>
        <v>1.02</v>
      </c>
      <c r="L14" s="0" t="str">
        <f aca="false">"9.81"</f>
        <v>9.81</v>
      </c>
      <c r="M14" s="0" t="str">
        <f aca="false">"-143.6"</f>
        <v>-143.6</v>
      </c>
    </row>
    <row r="15" customFormat="false" ht="12.8" hidden="false" customHeight="false" outlineLevel="0" collapsed="false">
      <c r="A15" s="0" t="s">
        <v>1692</v>
      </c>
      <c r="B15" s="0" t="s">
        <v>9</v>
      </c>
      <c r="C15" s="0" t="str">
        <f aca="false">"27-38"</f>
        <v>27-38</v>
      </c>
      <c r="D15" s="0" t="s">
        <v>9</v>
      </c>
      <c r="E15" s="0" t="str">
        <f aca="false">"91-102"</f>
        <v>91-102</v>
      </c>
      <c r="F15" s="0" t="s">
        <v>32</v>
      </c>
      <c r="G15" s="0" t="s">
        <v>9</v>
      </c>
      <c r="H15" s="0" t="str">
        <f aca="false">"14-25"</f>
        <v>14-25</v>
      </c>
      <c r="I15" s="0" t="s">
        <v>9</v>
      </c>
      <c r="J15" s="0" t="str">
        <f aca="false">"85-96"</f>
        <v>85-96</v>
      </c>
      <c r="K15" s="0" t="str">
        <f aca="false">"1.09"</f>
        <v>1.09</v>
      </c>
      <c r="L15" s="0" t="str">
        <f aca="false">"10.88"</f>
        <v>10.88</v>
      </c>
      <c r="M15" s="0" t="str">
        <f aca="false">"-159.0"</f>
        <v>-159.0</v>
      </c>
    </row>
    <row r="16" customFormat="false" ht="12.8" hidden="false" customHeight="false" outlineLevel="0" collapsed="false">
      <c r="A16" s="0" t="s">
        <v>1692</v>
      </c>
      <c r="B16" s="0" t="s">
        <v>9</v>
      </c>
      <c r="C16" s="0" t="str">
        <f aca="false">"27-38"</f>
        <v>27-38</v>
      </c>
      <c r="D16" s="0" t="s">
        <v>9</v>
      </c>
      <c r="E16" s="0" t="str">
        <f aca="false">"91-102"</f>
        <v>91-102</v>
      </c>
      <c r="F16" s="0" t="s">
        <v>1702</v>
      </c>
      <c r="G16" s="0" t="s">
        <v>9</v>
      </c>
      <c r="H16" s="0" t="str">
        <f aca="false">"78-89"</f>
        <v>78-89</v>
      </c>
      <c r="I16" s="0" t="s">
        <v>9</v>
      </c>
      <c r="J16" s="0" t="str">
        <f aca="false">"411-422"</f>
        <v>411-422</v>
      </c>
      <c r="K16" s="0" t="str">
        <f aca="false">"1.10"</f>
        <v>1.10</v>
      </c>
      <c r="L16" s="0" t="str">
        <f aca="false">"10.62"</f>
        <v>10.62</v>
      </c>
      <c r="M16" s="0" t="str">
        <f aca="false">"-162.5"</f>
        <v>-162.5</v>
      </c>
    </row>
    <row r="17" customFormat="false" ht="12.8" hidden="false" customHeight="false" outlineLevel="0" collapsed="false">
      <c r="A17" s="0" t="s">
        <v>1692</v>
      </c>
      <c r="B17" s="0" t="s">
        <v>9</v>
      </c>
      <c r="C17" s="0" t="str">
        <f aca="false">"27-38"</f>
        <v>27-38</v>
      </c>
      <c r="D17" s="0" t="s">
        <v>9</v>
      </c>
      <c r="E17" s="0" t="str">
        <f aca="false">"91-102"</f>
        <v>91-102</v>
      </c>
      <c r="F17" s="0" t="s">
        <v>1703</v>
      </c>
      <c r="G17" s="0" t="s">
        <v>9</v>
      </c>
      <c r="H17" s="0" t="str">
        <f aca="false">"168-179"</f>
        <v>168-179</v>
      </c>
      <c r="I17" s="0" t="s">
        <v>9</v>
      </c>
      <c r="J17" s="0" t="str">
        <f aca="false">"200-211"</f>
        <v>200-211</v>
      </c>
      <c r="K17" s="0" t="str">
        <f aca="false">"0.93"</f>
        <v>0.93</v>
      </c>
      <c r="L17" s="0" t="str">
        <f aca="false">"11.11"</f>
        <v>11.11</v>
      </c>
      <c r="M17" s="0" t="str">
        <f aca="false">"-152.3"</f>
        <v>-152.3</v>
      </c>
    </row>
    <row r="18" customFormat="false" ht="12.8" hidden="false" customHeight="false" outlineLevel="0" collapsed="false">
      <c r="A18" s="0" t="s">
        <v>1692</v>
      </c>
      <c r="B18" s="0" t="s">
        <v>9</v>
      </c>
      <c r="C18" s="0" t="str">
        <f aca="false">"27-38"</f>
        <v>27-38</v>
      </c>
      <c r="D18" s="0" t="s">
        <v>9</v>
      </c>
      <c r="E18" s="0" t="str">
        <f aca="false">"91-102"</f>
        <v>91-102</v>
      </c>
      <c r="F18" s="0" t="s">
        <v>1704</v>
      </c>
      <c r="G18" s="0" t="s">
        <v>9</v>
      </c>
      <c r="H18" s="0" t="str">
        <f aca="false">"93-104"</f>
        <v>93-104</v>
      </c>
      <c r="I18" s="0" t="s">
        <v>9</v>
      </c>
      <c r="J18" s="0" t="str">
        <f aca="false">"66-77"</f>
        <v>66-77</v>
      </c>
      <c r="K18" s="0" t="str">
        <f aca="false">"1.23"</f>
        <v>1.23</v>
      </c>
      <c r="L18" s="0" t="str">
        <f aca="false">"11.72"</f>
        <v>11.72</v>
      </c>
      <c r="M18" s="0" t="str">
        <f aca="false">"-150.9"</f>
        <v>-150.9</v>
      </c>
    </row>
    <row r="19" customFormat="false" ht="12.8" hidden="false" customHeight="false" outlineLevel="0" collapsed="false">
      <c r="A19" s="0" t="s">
        <v>1692</v>
      </c>
      <c r="B19" s="0" t="s">
        <v>9</v>
      </c>
      <c r="C19" s="0" t="str">
        <f aca="false">"27-38"</f>
        <v>27-38</v>
      </c>
      <c r="D19" s="0" t="s">
        <v>9</v>
      </c>
      <c r="E19" s="0" t="str">
        <f aca="false">"91-102"</f>
        <v>91-102</v>
      </c>
      <c r="F19" s="0" t="s">
        <v>1705</v>
      </c>
      <c r="G19" s="0" t="s">
        <v>9</v>
      </c>
      <c r="H19" s="0" t="str">
        <f aca="false">"8-19"</f>
        <v>8-19</v>
      </c>
      <c r="I19" s="0" t="s">
        <v>9</v>
      </c>
      <c r="J19" s="0" t="str">
        <f aca="false">"96-107"</f>
        <v>96-107</v>
      </c>
      <c r="K19" s="0" t="str">
        <f aca="false">"1.08"</f>
        <v>1.08</v>
      </c>
      <c r="L19" s="0" t="str">
        <f aca="false">"10.64"</f>
        <v>10.64</v>
      </c>
      <c r="M19" s="0" t="str">
        <f aca="false">"-154.1"</f>
        <v>-154.1</v>
      </c>
    </row>
    <row r="20" customFormat="false" ht="12.8" hidden="false" customHeight="false" outlineLevel="0" collapsed="false">
      <c r="A20" s="0" t="s">
        <v>1692</v>
      </c>
      <c r="B20" s="0" t="s">
        <v>9</v>
      </c>
      <c r="C20" s="0" t="str">
        <f aca="false">"27-38"</f>
        <v>27-38</v>
      </c>
      <c r="D20" s="0" t="s">
        <v>9</v>
      </c>
      <c r="E20" s="0" t="str">
        <f aca="false">"91-102"</f>
        <v>91-102</v>
      </c>
      <c r="F20" s="0" t="s">
        <v>1706</v>
      </c>
      <c r="G20" s="0" t="s">
        <v>9</v>
      </c>
      <c r="H20" s="0" t="str">
        <f aca="false">"547-558"</f>
        <v>547-558</v>
      </c>
      <c r="I20" s="0" t="s">
        <v>9</v>
      </c>
      <c r="J20" s="0" t="str">
        <f aca="false">"571-582"</f>
        <v>571-582</v>
      </c>
      <c r="K20" s="0" t="str">
        <f aca="false">"1.03"</f>
        <v>1.03</v>
      </c>
      <c r="L20" s="0" t="str">
        <f aca="false">"11.54"</f>
        <v>11.54</v>
      </c>
      <c r="M20" s="0" t="str">
        <f aca="false">"-153.6"</f>
        <v>-153.6</v>
      </c>
    </row>
    <row r="21" customFormat="false" ht="12.8" hidden="false" customHeight="false" outlineLevel="0" collapsed="false">
      <c r="A21" s="0" t="s">
        <v>1692</v>
      </c>
      <c r="B21" s="0" t="s">
        <v>9</v>
      </c>
      <c r="C21" s="0" t="str">
        <f aca="false">"27-38"</f>
        <v>27-38</v>
      </c>
      <c r="D21" s="0" t="s">
        <v>9</v>
      </c>
      <c r="E21" s="0" t="str">
        <f aca="false">"91-102"</f>
        <v>91-102</v>
      </c>
      <c r="F21" s="0" t="s">
        <v>44</v>
      </c>
      <c r="G21" s="0" t="s">
        <v>9</v>
      </c>
      <c r="H21" s="0" t="str">
        <f aca="false">"35-46"</f>
        <v>35-46</v>
      </c>
      <c r="I21" s="0" t="s">
        <v>9</v>
      </c>
      <c r="J21" s="0" t="str">
        <f aca="false">"82-93"</f>
        <v>82-93</v>
      </c>
      <c r="K21" s="0" t="str">
        <f aca="false">"1.04"</f>
        <v>1.04</v>
      </c>
      <c r="L21" s="0" t="str">
        <f aca="false">"11.11"</f>
        <v>11.11</v>
      </c>
      <c r="M21" s="0" t="str">
        <f aca="false">"-152.9"</f>
        <v>-152.9</v>
      </c>
    </row>
    <row r="22" customFormat="false" ht="12.8" hidden="false" customHeight="false" outlineLevel="0" collapsed="false">
      <c r="A22" s="0" t="s">
        <v>1692</v>
      </c>
      <c r="B22" s="0" t="s">
        <v>9</v>
      </c>
      <c r="C22" s="0" t="str">
        <f aca="false">"27-38"</f>
        <v>27-38</v>
      </c>
      <c r="D22" s="0" t="s">
        <v>9</v>
      </c>
      <c r="E22" s="0" t="str">
        <f aca="false">"91-102"</f>
        <v>91-102</v>
      </c>
      <c r="F22" s="0" t="s">
        <v>1707</v>
      </c>
      <c r="G22" s="0" t="s">
        <v>9</v>
      </c>
      <c r="H22" s="0" t="str">
        <f aca="false">"68-79"</f>
        <v>68-79</v>
      </c>
      <c r="I22" s="0" t="s">
        <v>9</v>
      </c>
      <c r="J22" s="0" t="str">
        <f aca="false">"40-51"</f>
        <v>40-51</v>
      </c>
      <c r="K22" s="0" t="str">
        <f aca="false">"1.21"</f>
        <v>1.21</v>
      </c>
      <c r="L22" s="0" t="str">
        <f aca="false">"11.40"</f>
        <v>11.40</v>
      </c>
      <c r="M22" s="0" t="str">
        <f aca="false">"-154.7"</f>
        <v>-154.7</v>
      </c>
    </row>
    <row r="23" customFormat="false" ht="12.8" hidden="false" customHeight="false" outlineLevel="0" collapsed="false">
      <c r="A23" s="0" t="s">
        <v>1692</v>
      </c>
      <c r="B23" s="0" t="s">
        <v>9</v>
      </c>
      <c r="C23" s="0" t="str">
        <f aca="false">"27-38"</f>
        <v>27-38</v>
      </c>
      <c r="D23" s="0" t="s">
        <v>9</v>
      </c>
      <c r="E23" s="0" t="str">
        <f aca="false">"91-102"</f>
        <v>91-102</v>
      </c>
      <c r="F23" s="0" t="s">
        <v>8</v>
      </c>
      <c r="G23" s="0" t="s">
        <v>9</v>
      </c>
      <c r="H23" s="0" t="str">
        <f aca="false">"117-128"</f>
        <v>117-128</v>
      </c>
      <c r="I23" s="0" t="s">
        <v>9</v>
      </c>
      <c r="J23" s="0" t="str">
        <f aca="false">"243-254"</f>
        <v>243-254</v>
      </c>
      <c r="K23" s="0" t="str">
        <f aca="false">"1.09"</f>
        <v>1.09</v>
      </c>
      <c r="L23" s="0" t="str">
        <f aca="false">"10.38"</f>
        <v>10.38</v>
      </c>
      <c r="M23" s="0" t="str">
        <f aca="false">"-151.9"</f>
        <v>-151.9</v>
      </c>
    </row>
    <row r="24" customFormat="false" ht="12.8" hidden="false" customHeight="false" outlineLevel="0" collapsed="false">
      <c r="A24" s="0" t="s">
        <v>1692</v>
      </c>
      <c r="B24" s="0" t="s">
        <v>9</v>
      </c>
      <c r="C24" s="0" t="str">
        <f aca="false">"27-38"</f>
        <v>27-38</v>
      </c>
      <c r="D24" s="0" t="s">
        <v>9</v>
      </c>
      <c r="E24" s="0" t="str">
        <f aca="false">"91-102"</f>
        <v>91-102</v>
      </c>
      <c r="F24" s="0" t="s">
        <v>1708</v>
      </c>
      <c r="G24" s="0" t="s">
        <v>9</v>
      </c>
      <c r="H24" s="0" t="str">
        <f aca="false">"742-753"</f>
        <v>742-753</v>
      </c>
      <c r="I24" s="0" t="s">
        <v>9</v>
      </c>
      <c r="J24" s="0" t="str">
        <f aca="false">"695-706"</f>
        <v>695-706</v>
      </c>
      <c r="K24" s="0" t="str">
        <f aca="false">"1.13"</f>
        <v>1.13</v>
      </c>
      <c r="L24" s="0" t="str">
        <f aca="false">"11.58"</f>
        <v>11.58</v>
      </c>
      <c r="M24" s="0" t="str">
        <f aca="false">"-166.5"</f>
        <v>-166.5</v>
      </c>
    </row>
    <row r="25" customFormat="false" ht="12.8" hidden="false" customHeight="false" outlineLevel="0" collapsed="false">
      <c r="A25" s="0" t="s">
        <v>1692</v>
      </c>
      <c r="B25" s="0" t="s">
        <v>9</v>
      </c>
      <c r="C25" s="0" t="str">
        <f aca="false">"27-38"</f>
        <v>27-38</v>
      </c>
      <c r="D25" s="0" t="s">
        <v>9</v>
      </c>
      <c r="E25" s="0" t="str">
        <f aca="false">"91-102"</f>
        <v>91-102</v>
      </c>
      <c r="F25" s="0" t="s">
        <v>1709</v>
      </c>
      <c r="G25" s="0" t="s">
        <v>9</v>
      </c>
      <c r="H25" s="0" t="str">
        <f aca="false">"540-551"</f>
        <v>540-551</v>
      </c>
      <c r="I25" s="0" t="s">
        <v>9</v>
      </c>
      <c r="J25" s="0" t="str">
        <f aca="false">"564-575"</f>
        <v>564-575</v>
      </c>
      <c r="K25" s="0" t="str">
        <f aca="false">"1.18"</f>
        <v>1.18</v>
      </c>
      <c r="L25" s="0" t="str">
        <f aca="false">"11.24"</f>
        <v>11.24</v>
      </c>
      <c r="M25" s="0" t="str">
        <f aca="false">"-157.4"</f>
        <v>-157.4</v>
      </c>
    </row>
    <row r="26" customFormat="false" ht="12.8" hidden="false" customHeight="false" outlineLevel="0" collapsed="false">
      <c r="A26" s="0" t="s">
        <v>1692</v>
      </c>
      <c r="B26" s="0" t="s">
        <v>9</v>
      </c>
      <c r="C26" s="0" t="str">
        <f aca="false">"27-38"</f>
        <v>27-38</v>
      </c>
      <c r="D26" s="0" t="s">
        <v>9</v>
      </c>
      <c r="E26" s="0" t="str">
        <f aca="false">"91-102"</f>
        <v>91-102</v>
      </c>
      <c r="F26" s="0" t="s">
        <v>73</v>
      </c>
      <c r="G26" s="0" t="s">
        <v>9</v>
      </c>
      <c r="H26" s="0" t="str">
        <f aca="false">"8-19"</f>
        <v>8-19</v>
      </c>
      <c r="I26" s="0" t="s">
        <v>9</v>
      </c>
      <c r="J26" s="0" t="str">
        <f aca="false">"93-104"</f>
        <v>93-104</v>
      </c>
      <c r="K26" s="0" t="str">
        <f aca="false">"1.20"</f>
        <v>1.20</v>
      </c>
      <c r="L26" s="0" t="str">
        <f aca="false">"11.24"</f>
        <v>11.24</v>
      </c>
      <c r="M26" s="0" t="str">
        <f aca="false">"-164.6"</f>
        <v>-164.6</v>
      </c>
    </row>
    <row r="27" customFormat="false" ht="12.8" hidden="false" customHeight="false" outlineLevel="0" collapsed="false">
      <c r="A27" s="0" t="s">
        <v>1692</v>
      </c>
      <c r="B27" s="0" t="s">
        <v>9</v>
      </c>
      <c r="C27" s="0" t="str">
        <f aca="false">"27-38"</f>
        <v>27-38</v>
      </c>
      <c r="D27" s="0" t="s">
        <v>9</v>
      </c>
      <c r="E27" s="0" t="str">
        <f aca="false">"91-102"</f>
        <v>91-102</v>
      </c>
      <c r="F27" s="0" t="s">
        <v>1710</v>
      </c>
      <c r="G27" s="0" t="s">
        <v>9</v>
      </c>
      <c r="H27" s="0" t="str">
        <f aca="false">"51-62"</f>
        <v>51-62</v>
      </c>
      <c r="I27" s="0" t="s">
        <v>9</v>
      </c>
      <c r="J27" s="0" t="str">
        <f aca="false">"21-32"</f>
        <v>21-32</v>
      </c>
      <c r="K27" s="0" t="str">
        <f aca="false">"0.94"</f>
        <v>0.94</v>
      </c>
      <c r="L27" s="0" t="str">
        <f aca="false">"10.53"</f>
        <v>10.53</v>
      </c>
      <c r="M27" s="0" t="str">
        <f aca="false">"-150.3"</f>
        <v>-150.3</v>
      </c>
    </row>
    <row r="28" customFormat="false" ht="12.8" hidden="false" customHeight="false" outlineLevel="0" collapsed="false">
      <c r="A28" s="0" t="s">
        <v>1692</v>
      </c>
      <c r="B28" s="0" t="s">
        <v>9</v>
      </c>
      <c r="C28" s="0" t="str">
        <f aca="false">"27-38"</f>
        <v>27-38</v>
      </c>
      <c r="D28" s="0" t="s">
        <v>9</v>
      </c>
      <c r="E28" s="0" t="str">
        <f aca="false">"91-102"</f>
        <v>91-102</v>
      </c>
      <c r="F28" s="0" t="s">
        <v>77</v>
      </c>
      <c r="G28" s="0" t="s">
        <v>9</v>
      </c>
      <c r="H28" s="0" t="str">
        <f aca="false">"80-91"</f>
        <v>80-91</v>
      </c>
      <c r="I28" s="0" t="s">
        <v>13</v>
      </c>
      <c r="J28" s="0" t="str">
        <f aca="false">"62-73"</f>
        <v>62-73</v>
      </c>
      <c r="K28" s="0" t="str">
        <f aca="false">"0.95"</f>
        <v>0.95</v>
      </c>
      <c r="L28" s="0" t="str">
        <f aca="false">"10.93"</f>
        <v>10.93</v>
      </c>
      <c r="M28" s="0" t="str">
        <f aca="false">"-153.3"</f>
        <v>-153.3</v>
      </c>
    </row>
    <row r="29" customFormat="false" ht="12.8" hidden="false" customHeight="false" outlineLevel="0" collapsed="false">
      <c r="A29" s="0" t="s">
        <v>1692</v>
      </c>
      <c r="B29" s="0" t="s">
        <v>9</v>
      </c>
      <c r="C29" s="0" t="str">
        <f aca="false">"27-38"</f>
        <v>27-38</v>
      </c>
      <c r="D29" s="0" t="s">
        <v>9</v>
      </c>
      <c r="E29" s="0" t="str">
        <f aca="false">"91-102"</f>
        <v>91-102</v>
      </c>
      <c r="F29" s="0" t="s">
        <v>79</v>
      </c>
      <c r="G29" s="0" t="s">
        <v>9</v>
      </c>
      <c r="H29" s="0" t="str">
        <f aca="false">"85-96"</f>
        <v>85-96</v>
      </c>
      <c r="I29" s="0" t="s">
        <v>9</v>
      </c>
      <c r="J29" s="0" t="str">
        <f aca="false">"132-143"</f>
        <v>132-143</v>
      </c>
      <c r="K29" s="0" t="str">
        <f aca="false">"1.04"</f>
        <v>1.04</v>
      </c>
      <c r="L29" s="0" t="str">
        <f aca="false">"11.24"</f>
        <v>11.24</v>
      </c>
      <c r="M29" s="0" t="str">
        <f aca="false">"-156.8"</f>
        <v>-156.8</v>
      </c>
    </row>
    <row r="30" customFormat="false" ht="12.8" hidden="false" customHeight="false" outlineLevel="0" collapsed="false">
      <c r="A30" s="0" t="s">
        <v>1692</v>
      </c>
      <c r="B30" s="0" t="s">
        <v>9</v>
      </c>
      <c r="C30" s="0" t="str">
        <f aca="false">"27-38"</f>
        <v>27-38</v>
      </c>
      <c r="D30" s="0" t="s">
        <v>9</v>
      </c>
      <c r="E30" s="0" t="str">
        <f aca="false">"91-102"</f>
        <v>91-102</v>
      </c>
      <c r="F30" s="0" t="s">
        <v>1711</v>
      </c>
      <c r="G30" s="0" t="s">
        <v>9</v>
      </c>
      <c r="H30" s="0" t="str">
        <f aca="false">"128-139"</f>
        <v>128-139</v>
      </c>
      <c r="I30" s="0" t="s">
        <v>9</v>
      </c>
      <c r="J30" s="0" t="str">
        <f aca="false">"75-86"</f>
        <v>75-86</v>
      </c>
      <c r="K30" s="0" t="str">
        <f aca="false">"1.23"</f>
        <v>1.23</v>
      </c>
      <c r="L30" s="0" t="str">
        <f aca="false">"11.26"</f>
        <v>11.26</v>
      </c>
      <c r="M30" s="0" t="str">
        <f aca="false">"-155.6"</f>
        <v>-155.6</v>
      </c>
    </row>
    <row r="31" customFormat="false" ht="12.8" hidden="false" customHeight="false" outlineLevel="0" collapsed="false">
      <c r="A31" s="0" t="s">
        <v>1692</v>
      </c>
      <c r="B31" s="0" t="s">
        <v>9</v>
      </c>
      <c r="C31" s="0" t="str">
        <f aca="false">"27-38"</f>
        <v>27-38</v>
      </c>
      <c r="D31" s="0" t="s">
        <v>9</v>
      </c>
      <c r="E31" s="0" t="str">
        <f aca="false">"91-102"</f>
        <v>91-102</v>
      </c>
      <c r="F31" s="0" t="s">
        <v>87</v>
      </c>
      <c r="G31" s="0" t="s">
        <v>13</v>
      </c>
      <c r="H31" s="0" t="str">
        <f aca="false">"128-139"</f>
        <v>128-139</v>
      </c>
      <c r="I31" s="0" t="s">
        <v>13</v>
      </c>
      <c r="J31" s="0" t="str">
        <f aca="false">"182-193"</f>
        <v>182-193</v>
      </c>
      <c r="K31" s="0" t="str">
        <f aca="false">"1.21"</f>
        <v>1.21</v>
      </c>
      <c r="L31" s="0" t="str">
        <f aca="false">"11.17"</f>
        <v>11.17</v>
      </c>
      <c r="M31" s="0" t="str">
        <f aca="false">"-159.4"</f>
        <v>-159.4</v>
      </c>
    </row>
    <row r="32" customFormat="false" ht="12.8" hidden="false" customHeight="false" outlineLevel="0" collapsed="false">
      <c r="A32" s="0" t="s">
        <v>1692</v>
      </c>
      <c r="B32" s="0" t="s">
        <v>9</v>
      </c>
      <c r="C32" s="0" t="str">
        <f aca="false">"27-38"</f>
        <v>27-38</v>
      </c>
      <c r="D32" s="0" t="s">
        <v>9</v>
      </c>
      <c r="E32" s="0" t="str">
        <f aca="false">"91-102"</f>
        <v>91-102</v>
      </c>
      <c r="F32" s="0" t="s">
        <v>88</v>
      </c>
      <c r="G32" s="0" t="s">
        <v>9</v>
      </c>
      <c r="H32" s="0" t="str">
        <f aca="false">"113-124"</f>
        <v>113-124</v>
      </c>
      <c r="I32" s="0" t="s">
        <v>9</v>
      </c>
      <c r="J32" s="0" t="str">
        <f aca="false">"86-97"</f>
        <v>86-97</v>
      </c>
      <c r="K32" s="0" t="str">
        <f aca="false">"0.93"</f>
        <v>0.93</v>
      </c>
      <c r="L32" s="0" t="str">
        <f aca="false">"10.20"</f>
        <v>10.20</v>
      </c>
      <c r="M32" s="0" t="str">
        <f aca="false">"-146.0"</f>
        <v>-146.0</v>
      </c>
    </row>
    <row r="33" customFormat="false" ht="12.8" hidden="false" customHeight="false" outlineLevel="0" collapsed="false">
      <c r="A33" s="0" t="s">
        <v>1692</v>
      </c>
      <c r="B33" s="0" t="s">
        <v>9</v>
      </c>
      <c r="C33" s="0" t="str">
        <f aca="false">"27-38"</f>
        <v>27-38</v>
      </c>
      <c r="D33" s="0" t="s">
        <v>9</v>
      </c>
      <c r="E33" s="0" t="str">
        <f aca="false">"91-102"</f>
        <v>91-102</v>
      </c>
      <c r="F33" s="0" t="s">
        <v>1712</v>
      </c>
      <c r="G33" s="0" t="s">
        <v>9</v>
      </c>
      <c r="H33" s="0" t="str">
        <f aca="false">"148-159"</f>
        <v>148-159</v>
      </c>
      <c r="I33" s="0" t="s">
        <v>9</v>
      </c>
      <c r="J33" s="0" t="str">
        <f aca="false">"130-141"</f>
        <v>130-141</v>
      </c>
      <c r="K33" s="0" t="str">
        <f aca="false">"0.99"</f>
        <v>0.99</v>
      </c>
      <c r="L33" s="0" t="str">
        <f aca="false">"10.86"</f>
        <v>10.86</v>
      </c>
      <c r="M33" s="0" t="str">
        <f aca="false">"-154.5"</f>
        <v>-154.5</v>
      </c>
    </row>
    <row r="34" customFormat="false" ht="12.8" hidden="false" customHeight="false" outlineLevel="0" collapsed="false">
      <c r="A34" s="0" t="s">
        <v>1692</v>
      </c>
      <c r="B34" s="0" t="s">
        <v>9</v>
      </c>
      <c r="C34" s="0" t="str">
        <f aca="false">"27-38"</f>
        <v>27-38</v>
      </c>
      <c r="D34" s="0" t="s">
        <v>9</v>
      </c>
      <c r="E34" s="0" t="str">
        <f aca="false">"91-102"</f>
        <v>91-102</v>
      </c>
      <c r="F34" s="0" t="s">
        <v>94</v>
      </c>
      <c r="G34" s="0" t="s">
        <v>9</v>
      </c>
      <c r="H34" s="0" t="str">
        <f aca="false">"1867-1878"</f>
        <v>1867-1878</v>
      </c>
      <c r="I34" s="0" t="s">
        <v>9</v>
      </c>
      <c r="J34" s="0" t="str">
        <f aca="false">"1801-1812"</f>
        <v>1801-1812</v>
      </c>
      <c r="K34" s="0" t="str">
        <f aca="false">"1.23"</f>
        <v>1.23</v>
      </c>
      <c r="L34" s="0" t="str">
        <f aca="false">"11.25"</f>
        <v>11.25</v>
      </c>
      <c r="M34" s="0" t="str">
        <f aca="false">"-159.4"</f>
        <v>-159.4</v>
      </c>
    </row>
    <row r="35" customFormat="false" ht="12.8" hidden="false" customHeight="false" outlineLevel="0" collapsed="false">
      <c r="A35" s="0" t="s">
        <v>1692</v>
      </c>
      <c r="B35" s="0" t="s">
        <v>9</v>
      </c>
      <c r="C35" s="0" t="str">
        <f aca="false">"27-38"</f>
        <v>27-38</v>
      </c>
      <c r="D35" s="0" t="s">
        <v>9</v>
      </c>
      <c r="E35" s="0" t="str">
        <f aca="false">"91-102"</f>
        <v>91-102</v>
      </c>
      <c r="F35" s="0" t="s">
        <v>1713</v>
      </c>
      <c r="G35" s="0" t="s">
        <v>9</v>
      </c>
      <c r="H35" s="0" t="str">
        <f aca="false">"1-12"</f>
        <v>1-12</v>
      </c>
      <c r="I35" s="0" t="s">
        <v>9</v>
      </c>
      <c r="J35" s="0" t="str">
        <f aca="false">"35-46"</f>
        <v>35-46</v>
      </c>
      <c r="K35" s="0" t="str">
        <f aca="false">"0.91"</f>
        <v>0.91</v>
      </c>
      <c r="L35" s="0" t="str">
        <f aca="false">"10.32"</f>
        <v>10.32</v>
      </c>
      <c r="M35" s="0" t="str">
        <f aca="false">"-153.3"</f>
        <v>-153.3</v>
      </c>
    </row>
    <row r="36" customFormat="false" ht="12.8" hidden="false" customHeight="false" outlineLevel="0" collapsed="false">
      <c r="A36" s="0" t="s">
        <v>1692</v>
      </c>
      <c r="B36" s="0" t="s">
        <v>9</v>
      </c>
      <c r="C36" s="0" t="str">
        <f aca="false">"27-38"</f>
        <v>27-38</v>
      </c>
      <c r="D36" s="0" t="s">
        <v>9</v>
      </c>
      <c r="E36" s="0" t="str">
        <f aca="false">"91-102"</f>
        <v>91-102</v>
      </c>
      <c r="F36" s="0" t="s">
        <v>99</v>
      </c>
      <c r="G36" s="0" t="s">
        <v>9</v>
      </c>
      <c r="H36" s="0" t="str">
        <f aca="false">"28-39"</f>
        <v>28-39</v>
      </c>
      <c r="I36" s="0" t="s">
        <v>9</v>
      </c>
      <c r="J36" s="0" t="str">
        <f aca="false">"8-19"</f>
        <v>8-19</v>
      </c>
      <c r="K36" s="0" t="str">
        <f aca="false">"1.08"</f>
        <v>1.08</v>
      </c>
      <c r="L36" s="0" t="str">
        <f aca="false">"9.97"</f>
        <v>9.97</v>
      </c>
      <c r="M36" s="0" t="str">
        <f aca="false">"-154.4"</f>
        <v>-154.4</v>
      </c>
    </row>
    <row r="37" customFormat="false" ht="12.8" hidden="false" customHeight="false" outlineLevel="0" collapsed="false">
      <c r="A37" s="0" t="s">
        <v>1692</v>
      </c>
      <c r="B37" s="0" t="s">
        <v>9</v>
      </c>
      <c r="C37" s="0" t="str">
        <f aca="false">"27-38"</f>
        <v>27-38</v>
      </c>
      <c r="D37" s="0" t="s">
        <v>9</v>
      </c>
      <c r="E37" s="0" t="str">
        <f aca="false">"91-102"</f>
        <v>91-102</v>
      </c>
      <c r="F37" s="0" t="s">
        <v>105</v>
      </c>
      <c r="G37" s="0" t="s">
        <v>9</v>
      </c>
      <c r="H37" s="0" t="str">
        <f aca="false">"23-34"</f>
        <v>23-34</v>
      </c>
      <c r="I37" s="0" t="s">
        <v>9</v>
      </c>
      <c r="J37" s="0" t="str">
        <f aca="false">"62-73"</f>
        <v>62-73</v>
      </c>
      <c r="K37" s="0" t="str">
        <f aca="false">"1.11"</f>
        <v>1.11</v>
      </c>
      <c r="L37" s="0" t="str">
        <f aca="false">"10.80"</f>
        <v>10.80</v>
      </c>
      <c r="M37" s="0" t="str">
        <f aca="false">"-149.0"</f>
        <v>-149.0</v>
      </c>
    </row>
    <row r="38" customFormat="false" ht="12.8" hidden="false" customHeight="false" outlineLevel="0" collapsed="false">
      <c r="A38" s="0" t="s">
        <v>1692</v>
      </c>
      <c r="B38" s="0" t="s">
        <v>9</v>
      </c>
      <c r="C38" s="0" t="str">
        <f aca="false">"27-38"</f>
        <v>27-38</v>
      </c>
      <c r="D38" s="0" t="s">
        <v>9</v>
      </c>
      <c r="E38" s="0" t="str">
        <f aca="false">"91-102"</f>
        <v>91-102</v>
      </c>
      <c r="F38" s="0" t="s">
        <v>1714</v>
      </c>
      <c r="G38" s="0" t="s">
        <v>9</v>
      </c>
      <c r="H38" s="0" t="str">
        <f aca="false">"141-152"</f>
        <v>141-152</v>
      </c>
      <c r="I38" s="0" t="s">
        <v>13</v>
      </c>
      <c r="J38" s="0" t="str">
        <f aca="false">"175-186"</f>
        <v>175-186</v>
      </c>
      <c r="K38" s="0" t="str">
        <f aca="false">"1.16"</f>
        <v>1.16</v>
      </c>
      <c r="L38" s="0" t="str">
        <f aca="false">"10.36"</f>
        <v>10.36</v>
      </c>
      <c r="M38" s="0" t="str">
        <f aca="false">"-147.4"</f>
        <v>-147.4</v>
      </c>
    </row>
    <row r="39" customFormat="false" ht="12.8" hidden="false" customHeight="false" outlineLevel="0" collapsed="false">
      <c r="A39" s="0" t="s">
        <v>1692</v>
      </c>
      <c r="B39" s="0" t="s">
        <v>9</v>
      </c>
      <c r="C39" s="0" t="str">
        <f aca="false">"27-38"</f>
        <v>27-38</v>
      </c>
      <c r="D39" s="0" t="s">
        <v>9</v>
      </c>
      <c r="E39" s="0" t="str">
        <f aca="false">"91-102"</f>
        <v>91-102</v>
      </c>
      <c r="F39" s="0" t="s">
        <v>1715</v>
      </c>
      <c r="G39" s="0" t="s">
        <v>9</v>
      </c>
      <c r="H39" s="0" t="str">
        <f aca="false">"47-58"</f>
        <v>47-58</v>
      </c>
      <c r="I39" s="0" t="s">
        <v>9</v>
      </c>
      <c r="J39" s="0" t="str">
        <f aca="false">"71-82"</f>
        <v>71-82</v>
      </c>
      <c r="K39" s="0" t="str">
        <f aca="false">"0.96"</f>
        <v>0.96</v>
      </c>
      <c r="L39" s="0" t="str">
        <f aca="false">"10.35"</f>
        <v>10.35</v>
      </c>
      <c r="M39" s="0" t="str">
        <f aca="false">"-154.2"</f>
        <v>-154.2</v>
      </c>
    </row>
    <row r="40" customFormat="false" ht="12.8" hidden="false" customHeight="false" outlineLevel="0" collapsed="false">
      <c r="A40" s="0" t="s">
        <v>1692</v>
      </c>
      <c r="B40" s="0" t="s">
        <v>9</v>
      </c>
      <c r="C40" s="0" t="str">
        <f aca="false">"27-38"</f>
        <v>27-38</v>
      </c>
      <c r="D40" s="0" t="s">
        <v>9</v>
      </c>
      <c r="E40" s="0" t="str">
        <f aca="false">"91-102"</f>
        <v>91-102</v>
      </c>
      <c r="F40" s="0" t="s">
        <v>1716</v>
      </c>
      <c r="G40" s="0" t="s">
        <v>9</v>
      </c>
      <c r="H40" s="0" t="str">
        <f aca="false">"258-269"</f>
        <v>258-269</v>
      </c>
      <c r="I40" s="0" t="s">
        <v>9</v>
      </c>
      <c r="J40" s="0" t="str">
        <f aca="false">"161-172"</f>
        <v>161-172</v>
      </c>
      <c r="K40" s="0" t="str">
        <f aca="false">"0.83"</f>
        <v>0.83</v>
      </c>
      <c r="L40" s="0" t="str">
        <f aca="false">"10.31"</f>
        <v>10.31</v>
      </c>
      <c r="M40" s="0" t="str">
        <f aca="false">"-152.3"</f>
        <v>-152.3</v>
      </c>
    </row>
    <row r="41" customFormat="false" ht="12.8" hidden="false" customHeight="false" outlineLevel="0" collapsed="false">
      <c r="A41" s="0" t="s">
        <v>1692</v>
      </c>
      <c r="B41" s="0" t="s">
        <v>9</v>
      </c>
      <c r="C41" s="0" t="str">
        <f aca="false">"27-38"</f>
        <v>27-38</v>
      </c>
      <c r="D41" s="0" t="s">
        <v>9</v>
      </c>
      <c r="E41" s="0" t="str">
        <f aca="false">"91-102"</f>
        <v>91-102</v>
      </c>
      <c r="F41" s="0" t="s">
        <v>1717</v>
      </c>
      <c r="G41" s="0" t="s">
        <v>13</v>
      </c>
      <c r="H41" s="0" t="str">
        <f aca="false">"15-26"</f>
        <v>15-26</v>
      </c>
      <c r="I41" s="0" t="s">
        <v>13</v>
      </c>
      <c r="J41" s="0" t="str">
        <f aca="false">"113-124"</f>
        <v>113-124</v>
      </c>
      <c r="K41" s="0" t="str">
        <f aca="false">"1.20"</f>
        <v>1.20</v>
      </c>
      <c r="L41" s="0" t="str">
        <f aca="false">"11.85"</f>
        <v>11.85</v>
      </c>
      <c r="M41" s="0" t="str">
        <f aca="false">"-157.0"</f>
        <v>-157.0</v>
      </c>
    </row>
    <row r="42" customFormat="false" ht="12.8" hidden="false" customHeight="false" outlineLevel="0" collapsed="false">
      <c r="A42" s="0" t="s">
        <v>1692</v>
      </c>
      <c r="B42" s="0" t="s">
        <v>9</v>
      </c>
      <c r="C42" s="0" t="str">
        <f aca="false">"27-38"</f>
        <v>27-38</v>
      </c>
      <c r="D42" s="0" t="s">
        <v>9</v>
      </c>
      <c r="E42" s="0" t="str">
        <f aca="false">"91-102"</f>
        <v>91-102</v>
      </c>
      <c r="F42" s="0" t="s">
        <v>115</v>
      </c>
      <c r="G42" s="0" t="s">
        <v>24</v>
      </c>
      <c r="H42" s="0" t="str">
        <f aca="false">"175-186"</f>
        <v>175-186</v>
      </c>
      <c r="I42" s="0" t="s">
        <v>24</v>
      </c>
      <c r="J42" s="0" t="str">
        <f aca="false">"287-298"</f>
        <v>287-298</v>
      </c>
      <c r="K42" s="0" t="str">
        <f aca="false">"1.05"</f>
        <v>1.05</v>
      </c>
      <c r="L42" s="0" t="str">
        <f aca="false">"10.42"</f>
        <v>10.42</v>
      </c>
      <c r="M42" s="0" t="str">
        <f aca="false">"-153.8"</f>
        <v>-153.8</v>
      </c>
    </row>
    <row r="43" customFormat="false" ht="12.8" hidden="false" customHeight="false" outlineLevel="0" collapsed="false">
      <c r="A43" s="0" t="s">
        <v>1692</v>
      </c>
      <c r="B43" s="0" t="s">
        <v>9</v>
      </c>
      <c r="C43" s="0" t="str">
        <f aca="false">"27-38"</f>
        <v>27-38</v>
      </c>
      <c r="D43" s="0" t="s">
        <v>9</v>
      </c>
      <c r="E43" s="0" t="str">
        <f aca="false">"91-102"</f>
        <v>91-102</v>
      </c>
      <c r="F43" s="0" t="s">
        <v>116</v>
      </c>
      <c r="G43" s="0" t="s">
        <v>9</v>
      </c>
      <c r="H43" s="0" t="str">
        <f aca="false">"6-17"</f>
        <v>6-17</v>
      </c>
      <c r="I43" s="0" t="s">
        <v>9</v>
      </c>
      <c r="J43" s="0" t="str">
        <f aca="false">"39-50"</f>
        <v>39-50</v>
      </c>
      <c r="K43" s="0" t="str">
        <f aca="false">"1.16"</f>
        <v>1.16</v>
      </c>
      <c r="L43" s="0" t="str">
        <f aca="false">"10.84"</f>
        <v>10.84</v>
      </c>
      <c r="M43" s="0" t="str">
        <f aca="false">"-148.8"</f>
        <v>-148.8</v>
      </c>
    </row>
    <row r="44" customFormat="false" ht="12.8" hidden="false" customHeight="false" outlineLevel="0" collapsed="false">
      <c r="A44" s="0" t="s">
        <v>1692</v>
      </c>
      <c r="B44" s="0" t="s">
        <v>9</v>
      </c>
      <c r="C44" s="0" t="str">
        <f aca="false">"27-38"</f>
        <v>27-38</v>
      </c>
      <c r="D44" s="0" t="s">
        <v>9</v>
      </c>
      <c r="E44" s="0" t="str">
        <f aca="false">"91-102"</f>
        <v>91-102</v>
      </c>
      <c r="F44" s="0" t="s">
        <v>117</v>
      </c>
      <c r="G44" s="0" t="s">
        <v>9</v>
      </c>
      <c r="H44" s="0" t="str">
        <f aca="false">"32-43"</f>
        <v>32-43</v>
      </c>
      <c r="I44" s="0" t="s">
        <v>9</v>
      </c>
      <c r="J44" s="0" t="str">
        <f aca="false">"62-73"</f>
        <v>62-73</v>
      </c>
      <c r="K44" s="0" t="str">
        <f aca="false">"0.90"</f>
        <v>0.90</v>
      </c>
      <c r="L44" s="0" t="str">
        <f aca="false">"10.94"</f>
        <v>10.94</v>
      </c>
      <c r="M44" s="0" t="str">
        <f aca="false">"-161.9"</f>
        <v>-161.9</v>
      </c>
    </row>
    <row r="45" customFormat="false" ht="12.8" hidden="false" customHeight="false" outlineLevel="0" collapsed="false">
      <c r="A45" s="0" t="s">
        <v>1692</v>
      </c>
      <c r="B45" s="0" t="s">
        <v>9</v>
      </c>
      <c r="C45" s="0" t="str">
        <f aca="false">"27-38"</f>
        <v>27-38</v>
      </c>
      <c r="D45" s="0" t="s">
        <v>9</v>
      </c>
      <c r="E45" s="0" t="str">
        <f aca="false">"91-102"</f>
        <v>91-102</v>
      </c>
      <c r="F45" s="0" t="s">
        <v>1718</v>
      </c>
      <c r="G45" s="0" t="s">
        <v>13</v>
      </c>
      <c r="H45" s="0" t="str">
        <f aca="false">"143-154"</f>
        <v>143-154</v>
      </c>
      <c r="I45" s="0" t="s">
        <v>13</v>
      </c>
      <c r="J45" s="0" t="str">
        <f aca="false">"22-33"</f>
        <v>22-33</v>
      </c>
      <c r="K45" s="0" t="str">
        <f aca="false">"1.22"</f>
        <v>1.22</v>
      </c>
      <c r="L45" s="0" t="str">
        <f aca="false">"11.14"</f>
        <v>11.14</v>
      </c>
      <c r="M45" s="0" t="str">
        <f aca="false">"-157.4"</f>
        <v>-157.4</v>
      </c>
    </row>
    <row r="46" customFormat="false" ht="12.8" hidden="false" customHeight="false" outlineLevel="0" collapsed="false">
      <c r="A46" s="0" t="s">
        <v>1692</v>
      </c>
      <c r="B46" s="0" t="s">
        <v>9</v>
      </c>
      <c r="C46" s="0" t="str">
        <f aca="false">"26-37"</f>
        <v>26-37</v>
      </c>
      <c r="D46" s="0" t="s">
        <v>9</v>
      </c>
      <c r="E46" s="0" t="str">
        <f aca="false">"91-102"</f>
        <v>91-102</v>
      </c>
      <c r="F46" s="0" t="s">
        <v>1719</v>
      </c>
      <c r="G46" s="0" t="s">
        <v>9</v>
      </c>
      <c r="H46" s="0" t="str">
        <f aca="false">"93-104"</f>
        <v>93-104</v>
      </c>
      <c r="I46" s="0" t="s">
        <v>9</v>
      </c>
      <c r="J46" s="0" t="str">
        <f aca="false">"159-170"</f>
        <v>159-170</v>
      </c>
      <c r="K46" s="0" t="str">
        <f aca="false">"0.88"</f>
        <v>0.88</v>
      </c>
      <c r="L46" s="0" t="str">
        <f aca="false">"10.77"</f>
        <v>10.77</v>
      </c>
      <c r="M46" s="0" t="str">
        <f aca="false">"-136.1"</f>
        <v>-136.1</v>
      </c>
    </row>
    <row r="47" customFormat="false" ht="12.8" hidden="false" customHeight="false" outlineLevel="0" collapsed="false">
      <c r="A47" s="0" t="s">
        <v>1692</v>
      </c>
      <c r="B47" s="0" t="s">
        <v>9</v>
      </c>
      <c r="C47" s="0" t="str">
        <f aca="false">"27-38"</f>
        <v>27-38</v>
      </c>
      <c r="D47" s="0" t="s">
        <v>9</v>
      </c>
      <c r="E47" s="0" t="str">
        <f aca="false">"91-102"</f>
        <v>91-102</v>
      </c>
      <c r="F47" s="0" t="s">
        <v>1720</v>
      </c>
      <c r="G47" s="0" t="s">
        <v>13</v>
      </c>
      <c r="H47" s="0" t="str">
        <f aca="false">"455-466"</f>
        <v>455-466</v>
      </c>
      <c r="I47" s="0" t="s">
        <v>13</v>
      </c>
      <c r="J47" s="0" t="str">
        <f aca="false">"507-518"</f>
        <v>507-518</v>
      </c>
      <c r="K47" s="0" t="str">
        <f aca="false">"0.88"</f>
        <v>0.88</v>
      </c>
      <c r="L47" s="0" t="str">
        <f aca="false">"10.61"</f>
        <v>10.61</v>
      </c>
      <c r="M47" s="0" t="str">
        <f aca="false">"-154.9"</f>
        <v>-154.9</v>
      </c>
    </row>
    <row r="48" customFormat="false" ht="12.8" hidden="false" customHeight="false" outlineLevel="0" collapsed="false">
      <c r="A48" s="0" t="s">
        <v>1692</v>
      </c>
      <c r="B48" s="0" t="s">
        <v>9</v>
      </c>
      <c r="C48" s="0" t="str">
        <f aca="false">"27-38"</f>
        <v>27-38</v>
      </c>
      <c r="D48" s="0" t="s">
        <v>9</v>
      </c>
      <c r="E48" s="0" t="str">
        <f aca="false">"91-102"</f>
        <v>91-102</v>
      </c>
      <c r="F48" s="0" t="s">
        <v>1721</v>
      </c>
      <c r="G48" s="0" t="s">
        <v>9</v>
      </c>
      <c r="H48" s="0" t="str">
        <f aca="false">"41-52"</f>
        <v>41-52</v>
      </c>
      <c r="I48" s="0" t="s">
        <v>9</v>
      </c>
      <c r="J48" s="0" t="str">
        <f aca="false">"8-19"</f>
        <v>8-19</v>
      </c>
      <c r="K48" s="0" t="str">
        <f aca="false">"1.13"</f>
        <v>1.13</v>
      </c>
      <c r="L48" s="0" t="str">
        <f aca="false">"10.46"</f>
        <v>10.46</v>
      </c>
      <c r="M48" s="0" t="str">
        <f aca="false">"-164.5"</f>
        <v>-164.5</v>
      </c>
    </row>
    <row r="49" customFormat="false" ht="12.8" hidden="false" customHeight="false" outlineLevel="0" collapsed="false">
      <c r="A49" s="0" t="s">
        <v>1692</v>
      </c>
      <c r="B49" s="0" t="s">
        <v>9</v>
      </c>
      <c r="C49" s="0" t="str">
        <f aca="false">"30-41"</f>
        <v>30-41</v>
      </c>
      <c r="D49" s="0" t="s">
        <v>9</v>
      </c>
      <c r="E49" s="0" t="str">
        <f aca="false">"88-99"</f>
        <v>88-99</v>
      </c>
      <c r="F49" s="0" t="s">
        <v>1722</v>
      </c>
      <c r="G49" s="0" t="s">
        <v>9</v>
      </c>
      <c r="H49" s="0" t="str">
        <f aca="false">"28-39"</f>
        <v>28-39</v>
      </c>
      <c r="I49" s="0" t="s">
        <v>13</v>
      </c>
      <c r="J49" s="0" t="str">
        <f aca="false">"32-43"</f>
        <v>32-43</v>
      </c>
      <c r="K49" s="0" t="str">
        <f aca="false">"1.08"</f>
        <v>1.08</v>
      </c>
      <c r="L49" s="0" t="str">
        <f aca="false">"10.77"</f>
        <v>10.77</v>
      </c>
      <c r="M49" s="0" t="str">
        <f aca="false">"-163.1"</f>
        <v>-163.1</v>
      </c>
    </row>
    <row r="50" customFormat="false" ht="12.8" hidden="false" customHeight="false" outlineLevel="0" collapsed="false">
      <c r="A50" s="0" t="s">
        <v>1692</v>
      </c>
      <c r="B50" s="0" t="s">
        <v>9</v>
      </c>
      <c r="C50" s="0" t="str">
        <f aca="false">"27-38"</f>
        <v>27-38</v>
      </c>
      <c r="D50" s="0" t="s">
        <v>9</v>
      </c>
      <c r="E50" s="0" t="str">
        <f aca="false">"91-102"</f>
        <v>91-102</v>
      </c>
      <c r="F50" s="0" t="s">
        <v>1723</v>
      </c>
      <c r="G50" s="0" t="s">
        <v>13</v>
      </c>
      <c r="H50" s="0" t="str">
        <f aca="false">"131-142"</f>
        <v>131-142</v>
      </c>
      <c r="I50" s="0" t="s">
        <v>9</v>
      </c>
      <c r="J50" s="0" t="str">
        <f aca="false">"142-153"</f>
        <v>142-153</v>
      </c>
      <c r="K50" s="0" t="str">
        <f aca="false">"1.24"</f>
        <v>1.24</v>
      </c>
      <c r="L50" s="0" t="str">
        <f aca="false">"12.04"</f>
        <v>12.04</v>
      </c>
      <c r="M50" s="0" t="str">
        <f aca="false">"-155.1"</f>
        <v>-155.1</v>
      </c>
    </row>
    <row r="51" customFormat="false" ht="12.8" hidden="false" customHeight="false" outlineLevel="0" collapsed="false">
      <c r="A51" s="0" t="s">
        <v>1692</v>
      </c>
      <c r="B51" s="0" t="s">
        <v>9</v>
      </c>
      <c r="C51" s="0" t="str">
        <f aca="false">"27-38"</f>
        <v>27-38</v>
      </c>
      <c r="D51" s="0" t="s">
        <v>9</v>
      </c>
      <c r="E51" s="0" t="str">
        <f aca="false">"91-102"</f>
        <v>91-102</v>
      </c>
      <c r="F51" s="0" t="s">
        <v>132</v>
      </c>
      <c r="G51" s="0" t="s">
        <v>9</v>
      </c>
      <c r="H51" s="0" t="str">
        <f aca="false">"130-141"</f>
        <v>130-141</v>
      </c>
      <c r="I51" s="0" t="s">
        <v>9</v>
      </c>
      <c r="J51" s="0" t="str">
        <f aca="false">"75-86"</f>
        <v>75-86</v>
      </c>
      <c r="K51" s="0" t="str">
        <f aca="false">"1.09"</f>
        <v>1.09</v>
      </c>
      <c r="L51" s="0" t="str">
        <f aca="false">"11.46"</f>
        <v>11.46</v>
      </c>
      <c r="M51" s="0" t="str">
        <f aca="false">"-160.3"</f>
        <v>-160.3</v>
      </c>
    </row>
    <row r="52" customFormat="false" ht="12.8" hidden="false" customHeight="false" outlineLevel="0" collapsed="false">
      <c r="A52" s="0" t="s">
        <v>1692</v>
      </c>
      <c r="B52" s="0" t="s">
        <v>9</v>
      </c>
      <c r="C52" s="0" t="str">
        <f aca="false">"27-38"</f>
        <v>27-38</v>
      </c>
      <c r="D52" s="0" t="s">
        <v>9</v>
      </c>
      <c r="E52" s="0" t="str">
        <f aca="false">"91-102"</f>
        <v>91-102</v>
      </c>
      <c r="F52" s="0" t="s">
        <v>137</v>
      </c>
      <c r="G52" s="0" t="s">
        <v>9</v>
      </c>
      <c r="H52" s="0" t="str">
        <f aca="false">"13-24"</f>
        <v>13-24</v>
      </c>
      <c r="I52" s="0" t="s">
        <v>120</v>
      </c>
      <c r="J52" s="0" t="str">
        <f aca="false">"44-55"</f>
        <v>44-55</v>
      </c>
      <c r="K52" s="0" t="str">
        <f aca="false">"1.13"</f>
        <v>1.13</v>
      </c>
      <c r="L52" s="0" t="str">
        <f aca="false">"10.19"</f>
        <v>10.19</v>
      </c>
      <c r="M52" s="0" t="str">
        <f aca="false">"-157.6"</f>
        <v>-157.6</v>
      </c>
    </row>
    <row r="53" customFormat="false" ht="12.8" hidden="false" customHeight="false" outlineLevel="0" collapsed="false">
      <c r="A53" s="0" t="s">
        <v>1692</v>
      </c>
      <c r="B53" s="0" t="s">
        <v>9</v>
      </c>
      <c r="C53" s="0" t="str">
        <f aca="false">"27-38"</f>
        <v>27-38</v>
      </c>
      <c r="D53" s="0" t="s">
        <v>9</v>
      </c>
      <c r="E53" s="0" t="str">
        <f aca="false">"91-102"</f>
        <v>91-102</v>
      </c>
      <c r="F53" s="0" t="s">
        <v>1724</v>
      </c>
      <c r="G53" s="0" t="s">
        <v>13</v>
      </c>
      <c r="H53" s="0" t="str">
        <f aca="false">"230-241"</f>
        <v>230-241</v>
      </c>
      <c r="I53" s="0" t="s">
        <v>13</v>
      </c>
      <c r="J53" s="0" t="str">
        <f aca="false">"111-122"</f>
        <v>111-122</v>
      </c>
      <c r="K53" s="0" t="str">
        <f aca="false">"1.03"</f>
        <v>1.03</v>
      </c>
      <c r="L53" s="0" t="str">
        <f aca="false">"11.02"</f>
        <v>11.02</v>
      </c>
      <c r="M53" s="0" t="str">
        <f aca="false">"-156.4"</f>
        <v>-156.4</v>
      </c>
    </row>
    <row r="54" customFormat="false" ht="12.8" hidden="false" customHeight="false" outlineLevel="0" collapsed="false">
      <c r="A54" s="0" t="s">
        <v>1692</v>
      </c>
      <c r="B54" s="0" t="s">
        <v>9</v>
      </c>
      <c r="C54" s="0" t="str">
        <f aca="false">"27-38"</f>
        <v>27-38</v>
      </c>
      <c r="D54" s="0" t="s">
        <v>9</v>
      </c>
      <c r="E54" s="0" t="str">
        <f aca="false">"91-102"</f>
        <v>91-102</v>
      </c>
      <c r="F54" s="0" t="s">
        <v>1725</v>
      </c>
      <c r="G54" s="0" t="s">
        <v>13</v>
      </c>
      <c r="H54" s="0" t="str">
        <f aca="false">"93-104"</f>
        <v>93-104</v>
      </c>
      <c r="I54" s="0" t="s">
        <v>9</v>
      </c>
      <c r="J54" s="0" t="str">
        <f aca="false">"90-101"</f>
        <v>90-101</v>
      </c>
      <c r="K54" s="0" t="str">
        <f aca="false">"1.12"</f>
        <v>1.12</v>
      </c>
      <c r="L54" s="0" t="str">
        <f aca="false">"10.08"</f>
        <v>10.08</v>
      </c>
      <c r="M54" s="0" t="str">
        <f aca="false">"-156.7"</f>
        <v>-156.7</v>
      </c>
    </row>
    <row r="55" customFormat="false" ht="12.8" hidden="false" customHeight="false" outlineLevel="0" collapsed="false">
      <c r="A55" s="0" t="s">
        <v>1692</v>
      </c>
      <c r="B55" s="0" t="s">
        <v>9</v>
      </c>
      <c r="C55" s="0" t="str">
        <f aca="false">"26-37"</f>
        <v>26-37</v>
      </c>
      <c r="D55" s="0" t="s">
        <v>9</v>
      </c>
      <c r="E55" s="0" t="str">
        <f aca="false">"91-102"</f>
        <v>91-102</v>
      </c>
      <c r="F55" s="0" t="s">
        <v>1726</v>
      </c>
      <c r="G55" s="0" t="s">
        <v>9</v>
      </c>
      <c r="H55" s="0" t="str">
        <f aca="false">"161-172"</f>
        <v>161-172</v>
      </c>
      <c r="I55" s="0" t="s">
        <v>9</v>
      </c>
      <c r="J55" s="0" t="str">
        <f aca="false">"35-46"</f>
        <v>35-46</v>
      </c>
      <c r="K55" s="0" t="str">
        <f aca="false">"1.08"</f>
        <v>1.08</v>
      </c>
      <c r="L55" s="0" t="str">
        <f aca="false">"10.98"</f>
        <v>10.98</v>
      </c>
      <c r="M55" s="0" t="str">
        <f aca="false">"-158.7"</f>
        <v>-158.7</v>
      </c>
    </row>
    <row r="56" customFormat="false" ht="12.8" hidden="false" customHeight="false" outlineLevel="0" collapsed="false">
      <c r="A56" s="0" t="s">
        <v>1692</v>
      </c>
      <c r="B56" s="0" t="s">
        <v>9</v>
      </c>
      <c r="C56" s="0" t="str">
        <f aca="false">"27-38"</f>
        <v>27-38</v>
      </c>
      <c r="D56" s="0" t="s">
        <v>9</v>
      </c>
      <c r="E56" s="0" t="str">
        <f aca="false">"91-102"</f>
        <v>91-102</v>
      </c>
      <c r="F56" s="0" t="s">
        <v>1727</v>
      </c>
      <c r="G56" s="0" t="s">
        <v>9</v>
      </c>
      <c r="H56" s="0" t="str">
        <f aca="false">"141-152"</f>
        <v>141-152</v>
      </c>
      <c r="I56" s="0" t="s">
        <v>9</v>
      </c>
      <c r="J56" s="0" t="str">
        <f aca="false">"210-221"</f>
        <v>210-221</v>
      </c>
      <c r="K56" s="0" t="str">
        <f aca="false">"0.86"</f>
        <v>0.86</v>
      </c>
      <c r="L56" s="0" t="str">
        <f aca="false">"10.66"</f>
        <v>10.66</v>
      </c>
      <c r="M56" s="0" t="str">
        <f aca="false">"-153.9"</f>
        <v>-153.9</v>
      </c>
    </row>
    <row r="57" customFormat="false" ht="12.8" hidden="false" customHeight="false" outlineLevel="0" collapsed="false">
      <c r="A57" s="0" t="s">
        <v>1692</v>
      </c>
      <c r="B57" s="0" t="s">
        <v>9</v>
      </c>
      <c r="C57" s="0" t="str">
        <f aca="false">"27-38"</f>
        <v>27-38</v>
      </c>
      <c r="D57" s="0" t="s">
        <v>9</v>
      </c>
      <c r="E57" s="0" t="str">
        <f aca="false">"91-102"</f>
        <v>91-102</v>
      </c>
      <c r="F57" s="0" t="s">
        <v>150</v>
      </c>
      <c r="G57" s="0" t="s">
        <v>9</v>
      </c>
      <c r="H57" s="0" t="str">
        <f aca="false">"264-275"</f>
        <v>264-275</v>
      </c>
      <c r="I57" s="0" t="s">
        <v>9</v>
      </c>
      <c r="J57" s="0" t="str">
        <f aca="false">"162-173"</f>
        <v>162-173</v>
      </c>
      <c r="K57" s="0" t="str">
        <f aca="false">"0.77"</f>
        <v>0.77</v>
      </c>
      <c r="L57" s="0" t="str">
        <f aca="false">"10.73"</f>
        <v>10.73</v>
      </c>
      <c r="M57" s="0" t="str">
        <f aca="false">"-154.0"</f>
        <v>-154.0</v>
      </c>
    </row>
    <row r="58" customFormat="false" ht="12.8" hidden="false" customHeight="false" outlineLevel="0" collapsed="false">
      <c r="A58" s="0" t="s">
        <v>1692</v>
      </c>
      <c r="B58" s="0" t="s">
        <v>9</v>
      </c>
      <c r="C58" s="0" t="str">
        <f aca="false">"27-38"</f>
        <v>27-38</v>
      </c>
      <c r="D58" s="0" t="s">
        <v>9</v>
      </c>
      <c r="E58" s="0" t="str">
        <f aca="false">"91-102"</f>
        <v>91-102</v>
      </c>
      <c r="F58" s="0" t="s">
        <v>1728</v>
      </c>
      <c r="G58" s="0" t="s">
        <v>9</v>
      </c>
      <c r="H58" s="0" t="str">
        <f aca="false">"61-72"</f>
        <v>61-72</v>
      </c>
      <c r="I58" s="0" t="s">
        <v>13</v>
      </c>
      <c r="J58" s="0" t="str">
        <f aca="false">"46-57"</f>
        <v>46-57</v>
      </c>
      <c r="K58" s="0" t="str">
        <f aca="false">"1.12"</f>
        <v>1.12</v>
      </c>
      <c r="L58" s="0" t="str">
        <f aca="false">"11.51"</f>
        <v>11.51</v>
      </c>
      <c r="M58" s="0" t="str">
        <f aca="false">"-160.9"</f>
        <v>-160.9</v>
      </c>
    </row>
    <row r="59" customFormat="false" ht="12.8" hidden="false" customHeight="false" outlineLevel="0" collapsed="false">
      <c r="A59" s="0" t="s">
        <v>1692</v>
      </c>
      <c r="B59" s="0" t="s">
        <v>9</v>
      </c>
      <c r="C59" s="0" t="str">
        <f aca="false">"27-38"</f>
        <v>27-38</v>
      </c>
      <c r="D59" s="0" t="s">
        <v>9</v>
      </c>
      <c r="E59" s="0" t="str">
        <f aca="false">"91-102"</f>
        <v>91-102</v>
      </c>
      <c r="F59" s="0" t="s">
        <v>154</v>
      </c>
      <c r="G59" s="0" t="s">
        <v>13</v>
      </c>
      <c r="H59" s="0" t="str">
        <f aca="false">"426-437"</f>
        <v>426-437</v>
      </c>
      <c r="I59" s="0" t="s">
        <v>13</v>
      </c>
      <c r="J59" s="0" t="str">
        <f aca="false">"264-275"</f>
        <v>264-275</v>
      </c>
      <c r="K59" s="0" t="str">
        <f aca="false">"1.16"</f>
        <v>1.16</v>
      </c>
      <c r="L59" s="0" t="str">
        <f aca="false">"11.61"</f>
        <v>11.61</v>
      </c>
      <c r="M59" s="0" t="str">
        <f aca="false">"-157.9"</f>
        <v>-157.9</v>
      </c>
    </row>
    <row r="60" customFormat="false" ht="12.8" hidden="false" customHeight="false" outlineLevel="0" collapsed="false">
      <c r="A60" s="0" t="s">
        <v>1692</v>
      </c>
      <c r="B60" s="0" t="s">
        <v>9</v>
      </c>
      <c r="C60" s="0" t="str">
        <f aca="false">"27-38"</f>
        <v>27-38</v>
      </c>
      <c r="D60" s="0" t="s">
        <v>9</v>
      </c>
      <c r="E60" s="0" t="str">
        <f aca="false">"91-102"</f>
        <v>91-102</v>
      </c>
      <c r="F60" s="0" t="s">
        <v>155</v>
      </c>
      <c r="G60" s="0" t="s">
        <v>9</v>
      </c>
      <c r="H60" s="0" t="str">
        <f aca="false">"90-101"</f>
        <v>90-101</v>
      </c>
      <c r="I60" s="0" t="s">
        <v>9</v>
      </c>
      <c r="J60" s="0" t="str">
        <f aca="false">"108-119"</f>
        <v>108-119</v>
      </c>
      <c r="K60" s="0" t="str">
        <f aca="false">"1.25"</f>
        <v>1.25</v>
      </c>
      <c r="L60" s="0" t="str">
        <f aca="false">"9.69"</f>
        <v>9.69</v>
      </c>
      <c r="M60" s="0" t="str">
        <f aca="false">"-157.8"</f>
        <v>-157.8</v>
      </c>
    </row>
    <row r="61" customFormat="false" ht="12.8" hidden="false" customHeight="false" outlineLevel="0" collapsed="false">
      <c r="A61" s="0" t="s">
        <v>1692</v>
      </c>
      <c r="B61" s="0" t="s">
        <v>9</v>
      </c>
      <c r="C61" s="0" t="str">
        <f aca="false">"27-38"</f>
        <v>27-38</v>
      </c>
      <c r="D61" s="0" t="s">
        <v>9</v>
      </c>
      <c r="E61" s="0" t="str">
        <f aca="false">"91-102"</f>
        <v>91-102</v>
      </c>
      <c r="F61" s="0" t="s">
        <v>160</v>
      </c>
      <c r="G61" s="0" t="s">
        <v>13</v>
      </c>
      <c r="H61" s="0" t="str">
        <f aca="false">"229-240"</f>
        <v>229-240</v>
      </c>
      <c r="I61" s="0" t="s">
        <v>13</v>
      </c>
      <c r="J61" s="0" t="str">
        <f aca="false">"203-214"</f>
        <v>203-214</v>
      </c>
      <c r="K61" s="0" t="str">
        <f aca="false">"1.04"</f>
        <v>1.04</v>
      </c>
      <c r="L61" s="0" t="str">
        <f aca="false">"11.15"</f>
        <v>11.15</v>
      </c>
      <c r="M61" s="0" t="str">
        <f aca="false">"-146.7"</f>
        <v>-146.7</v>
      </c>
    </row>
    <row r="62" customFormat="false" ht="12.8" hidden="false" customHeight="false" outlineLevel="0" collapsed="false">
      <c r="A62" s="0" t="s">
        <v>1692</v>
      </c>
      <c r="B62" s="0" t="s">
        <v>9</v>
      </c>
      <c r="C62" s="0" t="str">
        <f aca="false">"27-38"</f>
        <v>27-38</v>
      </c>
      <c r="D62" s="0" t="s">
        <v>9</v>
      </c>
      <c r="E62" s="0" t="str">
        <f aca="false">"91-102"</f>
        <v>91-102</v>
      </c>
      <c r="F62" s="0" t="s">
        <v>1729</v>
      </c>
      <c r="G62" s="0" t="s">
        <v>9</v>
      </c>
      <c r="H62" s="0" t="str">
        <f aca="false">"417-428"</f>
        <v>417-428</v>
      </c>
      <c r="I62" s="0" t="s">
        <v>9</v>
      </c>
      <c r="J62" s="0" t="str">
        <f aca="false">"387-398"</f>
        <v>387-398</v>
      </c>
      <c r="K62" s="0" t="str">
        <f aca="false">"1.08"</f>
        <v>1.08</v>
      </c>
      <c r="L62" s="0" t="str">
        <f aca="false">"9.71"</f>
        <v>9.71</v>
      </c>
      <c r="M62" s="0" t="str">
        <f aca="false">"-155.8"</f>
        <v>-155.8</v>
      </c>
    </row>
    <row r="63" customFormat="false" ht="12.8" hidden="false" customHeight="false" outlineLevel="0" collapsed="false">
      <c r="A63" s="0" t="s">
        <v>1692</v>
      </c>
      <c r="B63" s="0" t="s">
        <v>9</v>
      </c>
      <c r="C63" s="0" t="str">
        <f aca="false">"30-41"</f>
        <v>30-41</v>
      </c>
      <c r="D63" s="0" t="s">
        <v>9</v>
      </c>
      <c r="E63" s="0" t="str">
        <f aca="false">"87-98"</f>
        <v>87-98</v>
      </c>
      <c r="F63" s="0" t="s">
        <v>1730</v>
      </c>
      <c r="G63" s="0" t="s">
        <v>9</v>
      </c>
      <c r="H63" s="0" t="str">
        <f aca="false">"135-146"</f>
        <v>135-146</v>
      </c>
      <c r="I63" s="0" t="s">
        <v>9</v>
      </c>
      <c r="J63" s="0" t="str">
        <f aca="false">"31-42"</f>
        <v>31-42</v>
      </c>
      <c r="K63" s="0" t="str">
        <f aca="false">"0.91"</f>
        <v>0.91</v>
      </c>
      <c r="L63" s="0" t="str">
        <f aca="false">"10.97"</f>
        <v>10.97</v>
      </c>
      <c r="M63" s="0" t="str">
        <f aca="false">"-158.8"</f>
        <v>-158.8</v>
      </c>
    </row>
    <row r="64" customFormat="false" ht="12.8" hidden="false" customHeight="false" outlineLevel="0" collapsed="false">
      <c r="A64" s="0" t="s">
        <v>1692</v>
      </c>
      <c r="B64" s="0" t="s">
        <v>9</v>
      </c>
      <c r="C64" s="0" t="str">
        <f aca="false">"27-38"</f>
        <v>27-38</v>
      </c>
      <c r="D64" s="0" t="s">
        <v>9</v>
      </c>
      <c r="E64" s="0" t="str">
        <f aca="false">"91-102"</f>
        <v>91-102</v>
      </c>
      <c r="F64" s="0" t="s">
        <v>1731</v>
      </c>
      <c r="G64" s="0" t="s">
        <v>13</v>
      </c>
      <c r="H64" s="0" t="str">
        <f aca="false">"44-55"</f>
        <v>44-55</v>
      </c>
      <c r="I64" s="0" t="s">
        <v>13</v>
      </c>
      <c r="J64" s="0" t="str">
        <f aca="false">"16-27"</f>
        <v>16-27</v>
      </c>
      <c r="K64" s="0" t="str">
        <f aca="false">"0.90"</f>
        <v>0.90</v>
      </c>
      <c r="L64" s="0" t="str">
        <f aca="false">"10.46"</f>
        <v>10.46</v>
      </c>
      <c r="M64" s="0" t="str">
        <f aca="false">"-146.5"</f>
        <v>-146.5</v>
      </c>
    </row>
    <row r="65" customFormat="false" ht="12.8" hidden="false" customHeight="false" outlineLevel="0" collapsed="false">
      <c r="A65" s="0" t="s">
        <v>1692</v>
      </c>
      <c r="B65" s="0" t="s">
        <v>9</v>
      </c>
      <c r="C65" s="0" t="str">
        <f aca="false">"27-38"</f>
        <v>27-38</v>
      </c>
      <c r="D65" s="0" t="s">
        <v>9</v>
      </c>
      <c r="E65" s="0" t="str">
        <f aca="false">"91-102"</f>
        <v>91-102</v>
      </c>
      <c r="F65" s="0" t="s">
        <v>173</v>
      </c>
      <c r="G65" s="0" t="s">
        <v>9</v>
      </c>
      <c r="H65" s="0" t="str">
        <f aca="false">"191-202"</f>
        <v>191-202</v>
      </c>
      <c r="I65" s="0" t="s">
        <v>9</v>
      </c>
      <c r="J65" s="0" t="str">
        <f aca="false">"233-244"</f>
        <v>233-244</v>
      </c>
      <c r="K65" s="0" t="str">
        <f aca="false">"1.10"</f>
        <v>1.10</v>
      </c>
      <c r="L65" s="0" t="str">
        <f aca="false">"9.81"</f>
        <v>9.81</v>
      </c>
      <c r="M65" s="0" t="str">
        <f aca="false">"-160.3"</f>
        <v>-160.3</v>
      </c>
    </row>
    <row r="66" customFormat="false" ht="12.8" hidden="false" customHeight="false" outlineLevel="0" collapsed="false">
      <c r="A66" s="0" t="s">
        <v>1692</v>
      </c>
      <c r="B66" s="0" t="s">
        <v>9</v>
      </c>
      <c r="C66" s="0" t="str">
        <f aca="false">"27-38"</f>
        <v>27-38</v>
      </c>
      <c r="D66" s="0" t="s">
        <v>9</v>
      </c>
      <c r="E66" s="0" t="str">
        <f aca="false">"91-102"</f>
        <v>91-102</v>
      </c>
      <c r="F66" s="0" t="s">
        <v>177</v>
      </c>
      <c r="G66" s="0" t="s">
        <v>9</v>
      </c>
      <c r="H66" s="0" t="str">
        <f aca="false">"41-52"</f>
        <v>41-52</v>
      </c>
      <c r="I66" s="0" t="s">
        <v>9</v>
      </c>
      <c r="J66" s="0" t="str">
        <f aca="false">"67-78"</f>
        <v>67-78</v>
      </c>
      <c r="K66" s="0" t="str">
        <f aca="false">"1.18"</f>
        <v>1.18</v>
      </c>
      <c r="L66" s="0" t="str">
        <f aca="false">"9.38"</f>
        <v>9.38</v>
      </c>
      <c r="M66" s="0" t="str">
        <f aca="false">"-157.2"</f>
        <v>-157.2</v>
      </c>
    </row>
    <row r="67" customFormat="false" ht="12.8" hidden="false" customHeight="false" outlineLevel="0" collapsed="false">
      <c r="A67" s="0" t="s">
        <v>1692</v>
      </c>
      <c r="B67" s="0" t="s">
        <v>9</v>
      </c>
      <c r="C67" s="0" t="str">
        <f aca="false">"26-37"</f>
        <v>26-37</v>
      </c>
      <c r="D67" s="0" t="s">
        <v>9</v>
      </c>
      <c r="E67" s="0" t="str">
        <f aca="false">"91-102"</f>
        <v>91-102</v>
      </c>
      <c r="F67" s="0" t="s">
        <v>1732</v>
      </c>
      <c r="G67" s="0" t="s">
        <v>9</v>
      </c>
      <c r="H67" s="0" t="str">
        <f aca="false">"75-86"</f>
        <v>75-86</v>
      </c>
      <c r="I67" s="0" t="s">
        <v>9</v>
      </c>
      <c r="J67" s="0" t="str">
        <f aca="false">"61-72"</f>
        <v>61-72</v>
      </c>
      <c r="K67" s="0" t="str">
        <f aca="false">"0.85"</f>
        <v>0.85</v>
      </c>
      <c r="L67" s="0" t="str">
        <f aca="false">"11.78"</f>
        <v>11.78</v>
      </c>
      <c r="M67" s="0" t="str">
        <f aca="false">"-138.2"</f>
        <v>-138.2</v>
      </c>
    </row>
    <row r="68" customFormat="false" ht="12.8" hidden="false" customHeight="false" outlineLevel="0" collapsed="false">
      <c r="A68" s="0" t="s">
        <v>1692</v>
      </c>
      <c r="B68" s="0" t="s">
        <v>9</v>
      </c>
      <c r="C68" s="0" t="str">
        <f aca="false">"27-38"</f>
        <v>27-38</v>
      </c>
      <c r="D68" s="0" t="s">
        <v>9</v>
      </c>
      <c r="E68" s="0" t="str">
        <f aca="false">"91-102"</f>
        <v>91-102</v>
      </c>
      <c r="F68" s="0" t="s">
        <v>186</v>
      </c>
      <c r="G68" s="0" t="s">
        <v>13</v>
      </c>
      <c r="H68" s="0" t="str">
        <f aca="false">"277-288"</f>
        <v>277-288</v>
      </c>
      <c r="I68" s="0" t="s">
        <v>13</v>
      </c>
      <c r="J68" s="0" t="str">
        <f aca="false">"312-323"</f>
        <v>312-323</v>
      </c>
      <c r="K68" s="0" t="str">
        <f aca="false">"0.76"</f>
        <v>0.76</v>
      </c>
      <c r="L68" s="0" t="str">
        <f aca="false">"10.39"</f>
        <v>10.39</v>
      </c>
      <c r="M68" s="0" t="str">
        <f aca="false">"-148.3"</f>
        <v>-148.3</v>
      </c>
    </row>
    <row r="69" customFormat="false" ht="12.8" hidden="false" customHeight="false" outlineLevel="0" collapsed="false">
      <c r="A69" s="0" t="s">
        <v>1692</v>
      </c>
      <c r="B69" s="0" t="s">
        <v>9</v>
      </c>
      <c r="C69" s="0" t="str">
        <f aca="false">"27-38"</f>
        <v>27-38</v>
      </c>
      <c r="D69" s="0" t="s">
        <v>9</v>
      </c>
      <c r="E69" s="0" t="str">
        <f aca="false">"91-102"</f>
        <v>91-102</v>
      </c>
      <c r="F69" s="0" t="s">
        <v>188</v>
      </c>
      <c r="G69" s="0" t="s">
        <v>13</v>
      </c>
      <c r="H69" s="0" t="str">
        <f aca="false">"45-56"</f>
        <v>45-56</v>
      </c>
      <c r="I69" s="0" t="s">
        <v>13</v>
      </c>
      <c r="J69" s="0" t="str">
        <f aca="false">"32-43"</f>
        <v>32-43</v>
      </c>
      <c r="K69" s="0" t="str">
        <f aca="false">"1.21"</f>
        <v>1.21</v>
      </c>
      <c r="L69" s="0" t="str">
        <f aca="false">"10.32"</f>
        <v>10.32</v>
      </c>
      <c r="M69" s="0" t="str">
        <f aca="false">"-156.5"</f>
        <v>-156.5</v>
      </c>
    </row>
    <row r="70" customFormat="false" ht="12.8" hidden="false" customHeight="false" outlineLevel="0" collapsed="false">
      <c r="A70" s="0" t="s">
        <v>1692</v>
      </c>
      <c r="B70" s="0" t="s">
        <v>9</v>
      </c>
      <c r="C70" s="0" t="str">
        <f aca="false">"27-38"</f>
        <v>27-38</v>
      </c>
      <c r="D70" s="0" t="s">
        <v>9</v>
      </c>
      <c r="E70" s="0" t="str">
        <f aca="false">"91-102"</f>
        <v>91-102</v>
      </c>
      <c r="F70" s="0" t="s">
        <v>1733</v>
      </c>
      <c r="G70" s="0" t="s">
        <v>13</v>
      </c>
      <c r="H70" s="0" t="str">
        <f aca="false">"102-113"</f>
        <v>102-113</v>
      </c>
      <c r="I70" s="0" t="s">
        <v>13</v>
      </c>
      <c r="J70" s="0" t="str">
        <f aca="false">"55-66"</f>
        <v>55-66</v>
      </c>
      <c r="K70" s="0" t="str">
        <f aca="false">"1.22"</f>
        <v>1.22</v>
      </c>
      <c r="L70" s="0" t="str">
        <f aca="false">"12.24"</f>
        <v>12.24</v>
      </c>
      <c r="M70" s="0" t="str">
        <f aca="false">"-162.6"</f>
        <v>-162.6</v>
      </c>
    </row>
    <row r="71" customFormat="false" ht="12.8" hidden="false" customHeight="false" outlineLevel="0" collapsed="false">
      <c r="A71" s="0" t="s">
        <v>1692</v>
      </c>
      <c r="B71" s="0" t="s">
        <v>9</v>
      </c>
      <c r="C71" s="0" t="str">
        <f aca="false">"27-38"</f>
        <v>27-38</v>
      </c>
      <c r="D71" s="0" t="s">
        <v>9</v>
      </c>
      <c r="E71" s="0" t="str">
        <f aca="false">"91-102"</f>
        <v>91-102</v>
      </c>
      <c r="F71" s="0" t="s">
        <v>192</v>
      </c>
      <c r="G71" s="0" t="s">
        <v>9</v>
      </c>
      <c r="H71" s="0" t="str">
        <f aca="false">"80-91"</f>
        <v>80-91</v>
      </c>
      <c r="I71" s="0" t="s">
        <v>9</v>
      </c>
      <c r="J71" s="0" t="str">
        <f aca="false">"104-115"</f>
        <v>104-115</v>
      </c>
      <c r="K71" s="0" t="str">
        <f aca="false">"1.13"</f>
        <v>1.13</v>
      </c>
      <c r="L71" s="0" t="str">
        <f aca="false">"10.41"</f>
        <v>10.41</v>
      </c>
      <c r="M71" s="0" t="str">
        <f aca="false">"-159.0"</f>
        <v>-159.0</v>
      </c>
    </row>
    <row r="72" customFormat="false" ht="12.8" hidden="false" customHeight="false" outlineLevel="0" collapsed="false">
      <c r="A72" s="0" t="s">
        <v>1692</v>
      </c>
      <c r="B72" s="0" t="s">
        <v>9</v>
      </c>
      <c r="C72" s="0" t="str">
        <f aca="false">"27-38"</f>
        <v>27-38</v>
      </c>
      <c r="D72" s="0" t="s">
        <v>9</v>
      </c>
      <c r="E72" s="0" t="str">
        <f aca="false">"91-102"</f>
        <v>91-102</v>
      </c>
      <c r="F72" s="0" t="s">
        <v>1734</v>
      </c>
      <c r="G72" s="0" t="s">
        <v>13</v>
      </c>
      <c r="H72" s="0" t="str">
        <f aca="false">"387-398"</f>
        <v>387-398</v>
      </c>
      <c r="I72" s="0" t="s">
        <v>13</v>
      </c>
      <c r="J72" s="0" t="str">
        <f aca="false">"330-341"</f>
        <v>330-341</v>
      </c>
      <c r="K72" s="0" t="str">
        <f aca="false">"0.74"</f>
        <v>0.74</v>
      </c>
      <c r="L72" s="0" t="str">
        <f aca="false">"11.42"</f>
        <v>11.42</v>
      </c>
      <c r="M72" s="0" t="str">
        <f aca="false">"-146.9"</f>
        <v>-146.9</v>
      </c>
    </row>
    <row r="73" customFormat="false" ht="12.8" hidden="false" customHeight="false" outlineLevel="0" collapsed="false">
      <c r="A73" s="0" t="s">
        <v>1692</v>
      </c>
      <c r="B73" s="0" t="s">
        <v>9</v>
      </c>
      <c r="C73" s="0" t="str">
        <f aca="false">"27-38"</f>
        <v>27-38</v>
      </c>
      <c r="D73" s="0" t="s">
        <v>9</v>
      </c>
      <c r="E73" s="0" t="str">
        <f aca="false">"91-102"</f>
        <v>91-102</v>
      </c>
      <c r="F73" s="0" t="s">
        <v>1735</v>
      </c>
      <c r="G73" s="0" t="s">
        <v>9</v>
      </c>
      <c r="H73" s="0" t="str">
        <f aca="false">"219-230"</f>
        <v>219-230</v>
      </c>
      <c r="I73" s="0" t="s">
        <v>9</v>
      </c>
      <c r="J73" s="0" t="str">
        <f aca="false">"116-127"</f>
        <v>116-127</v>
      </c>
      <c r="K73" s="0" t="str">
        <f aca="false">"0.99"</f>
        <v>0.99</v>
      </c>
      <c r="L73" s="0" t="str">
        <f aca="false">"11.04"</f>
        <v>11.04</v>
      </c>
      <c r="M73" s="0" t="str">
        <f aca="false">"-151.4"</f>
        <v>-151.4</v>
      </c>
    </row>
    <row r="74" customFormat="false" ht="12.8" hidden="false" customHeight="false" outlineLevel="0" collapsed="false">
      <c r="A74" s="0" t="s">
        <v>1692</v>
      </c>
      <c r="B74" s="0" t="s">
        <v>9</v>
      </c>
      <c r="C74" s="0" t="str">
        <f aca="false">"27-38"</f>
        <v>27-38</v>
      </c>
      <c r="D74" s="0" t="s">
        <v>9</v>
      </c>
      <c r="E74" s="0" t="str">
        <f aca="false">"91-102"</f>
        <v>91-102</v>
      </c>
      <c r="F74" s="0" t="s">
        <v>1736</v>
      </c>
      <c r="G74" s="0" t="s">
        <v>9</v>
      </c>
      <c r="H74" s="0" t="str">
        <f aca="false">"148-159"</f>
        <v>148-159</v>
      </c>
      <c r="I74" s="0" t="s">
        <v>9</v>
      </c>
      <c r="J74" s="0" t="str">
        <f aca="false">"56-67"</f>
        <v>56-67</v>
      </c>
      <c r="K74" s="0" t="str">
        <f aca="false">"1.11"</f>
        <v>1.11</v>
      </c>
      <c r="L74" s="0" t="str">
        <f aca="false">"11.16"</f>
        <v>11.16</v>
      </c>
      <c r="M74" s="0" t="str">
        <f aca="false">"-152.2"</f>
        <v>-152.2</v>
      </c>
    </row>
    <row r="75" customFormat="false" ht="12.8" hidden="false" customHeight="false" outlineLevel="0" collapsed="false">
      <c r="A75" s="0" t="s">
        <v>1692</v>
      </c>
      <c r="B75" s="0" t="s">
        <v>9</v>
      </c>
      <c r="C75" s="0" t="str">
        <f aca="false">"26-37"</f>
        <v>26-37</v>
      </c>
      <c r="D75" s="0" t="s">
        <v>9</v>
      </c>
      <c r="E75" s="0" t="str">
        <f aca="false">"94-105"</f>
        <v>94-105</v>
      </c>
      <c r="F75" s="0" t="s">
        <v>1737</v>
      </c>
      <c r="G75" s="0" t="s">
        <v>9</v>
      </c>
      <c r="H75" s="0" t="str">
        <f aca="false">"509-520"</f>
        <v>509-520</v>
      </c>
      <c r="I75" s="0" t="s">
        <v>9</v>
      </c>
      <c r="J75" s="0" t="str">
        <f aca="false">"534-545"</f>
        <v>534-545</v>
      </c>
      <c r="K75" s="0" t="str">
        <f aca="false">"1.02"</f>
        <v>1.02</v>
      </c>
      <c r="L75" s="0" t="str">
        <f aca="false">"10.87"</f>
        <v>10.87</v>
      </c>
      <c r="M75" s="0" t="str">
        <f aca="false">"-137.8"</f>
        <v>-137.8</v>
      </c>
    </row>
    <row r="76" customFormat="false" ht="12.8" hidden="false" customHeight="false" outlineLevel="0" collapsed="false">
      <c r="A76" s="0" t="s">
        <v>1692</v>
      </c>
      <c r="B76" s="0" t="s">
        <v>9</v>
      </c>
      <c r="C76" s="0" t="str">
        <f aca="false">"27-38"</f>
        <v>27-38</v>
      </c>
      <c r="D76" s="0" t="s">
        <v>9</v>
      </c>
      <c r="E76" s="0" t="str">
        <f aca="false">"91-102"</f>
        <v>91-102</v>
      </c>
      <c r="F76" s="0" t="s">
        <v>1738</v>
      </c>
      <c r="G76" s="0" t="s">
        <v>13</v>
      </c>
      <c r="H76" s="0" t="str">
        <f aca="false">"63-74"</f>
        <v>63-74</v>
      </c>
      <c r="I76" s="0" t="s">
        <v>13</v>
      </c>
      <c r="J76" s="0" t="str">
        <f aca="false">"17-28"</f>
        <v>17-28</v>
      </c>
      <c r="K76" s="0" t="str">
        <f aca="false">"1.23"</f>
        <v>1.23</v>
      </c>
      <c r="L76" s="0" t="str">
        <f aca="false">"10.41"</f>
        <v>10.41</v>
      </c>
      <c r="M76" s="0" t="str">
        <f aca="false">"-146.7"</f>
        <v>-146.7</v>
      </c>
    </row>
    <row r="77" customFormat="false" ht="12.8" hidden="false" customHeight="false" outlineLevel="0" collapsed="false">
      <c r="A77" s="0" t="s">
        <v>1692</v>
      </c>
      <c r="B77" s="0" t="s">
        <v>9</v>
      </c>
      <c r="C77" s="0" t="str">
        <f aca="false">"27-38"</f>
        <v>27-38</v>
      </c>
      <c r="D77" s="0" t="s">
        <v>9</v>
      </c>
      <c r="E77" s="0" t="str">
        <f aca="false">"91-102"</f>
        <v>91-102</v>
      </c>
      <c r="F77" s="0" t="s">
        <v>1739</v>
      </c>
      <c r="G77" s="0" t="s">
        <v>13</v>
      </c>
      <c r="H77" s="0" t="str">
        <f aca="false">"311-322"</f>
        <v>311-322</v>
      </c>
      <c r="I77" s="0" t="s">
        <v>13</v>
      </c>
      <c r="J77" s="0" t="str">
        <f aca="false">"258-269"</f>
        <v>258-269</v>
      </c>
      <c r="K77" s="0" t="str">
        <f aca="false">"1.19"</f>
        <v>1.19</v>
      </c>
      <c r="L77" s="0" t="str">
        <f aca="false">"9.74"</f>
        <v>9.74</v>
      </c>
      <c r="M77" s="0" t="str">
        <f aca="false">"-154.7"</f>
        <v>-154.7</v>
      </c>
    </row>
    <row r="78" customFormat="false" ht="12.8" hidden="false" customHeight="false" outlineLevel="0" collapsed="false">
      <c r="A78" s="0" t="s">
        <v>1692</v>
      </c>
      <c r="B78" s="0" t="s">
        <v>9</v>
      </c>
      <c r="C78" s="0" t="str">
        <f aca="false">"27-38"</f>
        <v>27-38</v>
      </c>
      <c r="D78" s="0" t="s">
        <v>9</v>
      </c>
      <c r="E78" s="0" t="str">
        <f aca="false">"91-102"</f>
        <v>91-102</v>
      </c>
      <c r="F78" s="0" t="s">
        <v>226</v>
      </c>
      <c r="G78" s="0" t="s">
        <v>9</v>
      </c>
      <c r="H78" s="0" t="str">
        <f aca="false">"44-55"</f>
        <v>44-55</v>
      </c>
      <c r="I78" s="0" t="s">
        <v>13</v>
      </c>
      <c r="J78" s="0" t="str">
        <f aca="false">"90-101"</f>
        <v>90-101</v>
      </c>
      <c r="K78" s="0" t="str">
        <f aca="false">"1.21"</f>
        <v>1.21</v>
      </c>
      <c r="L78" s="0" t="str">
        <f aca="false">"10.89"</f>
        <v>10.89</v>
      </c>
      <c r="M78" s="0" t="str">
        <f aca="false">"-165.3"</f>
        <v>-165.3</v>
      </c>
    </row>
    <row r="79" customFormat="false" ht="12.8" hidden="false" customHeight="false" outlineLevel="0" collapsed="false">
      <c r="A79" s="0" t="s">
        <v>1692</v>
      </c>
      <c r="B79" s="0" t="s">
        <v>9</v>
      </c>
      <c r="C79" s="0" t="str">
        <f aca="false">"27-38"</f>
        <v>27-38</v>
      </c>
      <c r="D79" s="0" t="s">
        <v>9</v>
      </c>
      <c r="E79" s="0" t="str">
        <f aca="false">"91-102"</f>
        <v>91-102</v>
      </c>
      <c r="F79" s="0" t="s">
        <v>1740</v>
      </c>
      <c r="G79" s="0" t="s">
        <v>9</v>
      </c>
      <c r="H79" s="0" t="str">
        <f aca="false">"165-176"</f>
        <v>165-176</v>
      </c>
      <c r="I79" s="0" t="s">
        <v>9</v>
      </c>
      <c r="J79" s="0" t="str">
        <f aca="false">"80-91"</f>
        <v>80-91</v>
      </c>
      <c r="K79" s="0" t="str">
        <f aca="false">"1.21"</f>
        <v>1.21</v>
      </c>
      <c r="L79" s="0" t="str">
        <f aca="false">"12.11"</f>
        <v>12.11</v>
      </c>
      <c r="M79" s="0" t="str">
        <f aca="false">"-148.6"</f>
        <v>-148.6</v>
      </c>
    </row>
    <row r="80" customFormat="false" ht="12.8" hidden="false" customHeight="false" outlineLevel="0" collapsed="false">
      <c r="A80" s="0" t="s">
        <v>1692</v>
      </c>
      <c r="B80" s="0" t="s">
        <v>9</v>
      </c>
      <c r="C80" s="0" t="str">
        <f aca="false">"27-38"</f>
        <v>27-38</v>
      </c>
      <c r="D80" s="0" t="s">
        <v>9</v>
      </c>
      <c r="E80" s="0" t="str">
        <f aca="false">"91-102"</f>
        <v>91-102</v>
      </c>
      <c r="F80" s="0" t="s">
        <v>229</v>
      </c>
      <c r="G80" s="0" t="s">
        <v>13</v>
      </c>
      <c r="H80" s="0" t="str">
        <f aca="false">"571-582"</f>
        <v>571-582</v>
      </c>
      <c r="I80" s="0" t="s">
        <v>13</v>
      </c>
      <c r="J80" s="0" t="str">
        <f aca="false">"603-614"</f>
        <v>603-614</v>
      </c>
      <c r="K80" s="0" t="str">
        <f aca="false">"1.19"</f>
        <v>1.19</v>
      </c>
      <c r="L80" s="0" t="str">
        <f aca="false">"9.77"</f>
        <v>9.77</v>
      </c>
      <c r="M80" s="0" t="str">
        <f aca="false">"-158.3"</f>
        <v>-158.3</v>
      </c>
    </row>
    <row r="81" customFormat="false" ht="12.8" hidden="false" customHeight="false" outlineLevel="0" collapsed="false">
      <c r="A81" s="0" t="s">
        <v>1692</v>
      </c>
      <c r="B81" s="0" t="s">
        <v>9</v>
      </c>
      <c r="C81" s="0" t="str">
        <f aca="false">"27-38"</f>
        <v>27-38</v>
      </c>
      <c r="D81" s="0" t="s">
        <v>9</v>
      </c>
      <c r="E81" s="0" t="str">
        <f aca="false">"91-102"</f>
        <v>91-102</v>
      </c>
      <c r="F81" s="0" t="s">
        <v>230</v>
      </c>
      <c r="G81" s="0" t="s">
        <v>9</v>
      </c>
      <c r="H81" s="0" t="str">
        <f aca="false">"132-143"</f>
        <v>132-143</v>
      </c>
      <c r="I81" s="0" t="s">
        <v>9</v>
      </c>
      <c r="J81" s="0" t="str">
        <f aca="false">"158-169"</f>
        <v>158-169</v>
      </c>
      <c r="K81" s="0" t="str">
        <f aca="false">"1.07"</f>
        <v>1.07</v>
      </c>
      <c r="L81" s="0" t="str">
        <f aca="false">"9.48"</f>
        <v>9.48</v>
      </c>
      <c r="M81" s="0" t="str">
        <f aca="false">"-153.2"</f>
        <v>-153.2</v>
      </c>
    </row>
    <row r="82" customFormat="false" ht="12.8" hidden="false" customHeight="false" outlineLevel="0" collapsed="false">
      <c r="A82" s="0" t="s">
        <v>1692</v>
      </c>
      <c r="B82" s="0" t="s">
        <v>9</v>
      </c>
      <c r="C82" s="0" t="str">
        <f aca="false">"27-38"</f>
        <v>27-38</v>
      </c>
      <c r="D82" s="0" t="s">
        <v>9</v>
      </c>
      <c r="E82" s="0" t="str">
        <f aca="false">"91-102"</f>
        <v>91-102</v>
      </c>
      <c r="F82" s="0" t="s">
        <v>1741</v>
      </c>
      <c r="G82" s="0" t="s">
        <v>120</v>
      </c>
      <c r="H82" s="0" t="str">
        <f aca="false">"368-379"</f>
        <v>368-379</v>
      </c>
      <c r="I82" s="0" t="s">
        <v>120</v>
      </c>
      <c r="J82" s="0" t="str">
        <f aca="false">"334-345"</f>
        <v>334-345</v>
      </c>
      <c r="K82" s="0" t="str">
        <f aca="false">"1.13"</f>
        <v>1.13</v>
      </c>
      <c r="L82" s="0" t="str">
        <f aca="false">"9.84"</f>
        <v>9.84</v>
      </c>
      <c r="M82" s="0" t="str">
        <f aca="false">"-157.9"</f>
        <v>-157.9</v>
      </c>
    </row>
    <row r="83" customFormat="false" ht="12.8" hidden="false" customHeight="false" outlineLevel="0" collapsed="false">
      <c r="A83" s="0" t="s">
        <v>1692</v>
      </c>
      <c r="B83" s="0" t="s">
        <v>9</v>
      </c>
      <c r="C83" s="0" t="str">
        <f aca="false">"27-38"</f>
        <v>27-38</v>
      </c>
      <c r="D83" s="0" t="s">
        <v>9</v>
      </c>
      <c r="E83" s="0" t="str">
        <f aca="false">"91-102"</f>
        <v>91-102</v>
      </c>
      <c r="F83" s="0" t="s">
        <v>1742</v>
      </c>
      <c r="G83" s="0" t="s">
        <v>62</v>
      </c>
      <c r="H83" s="0" t="str">
        <f aca="false">"99-110"</f>
        <v>99-110</v>
      </c>
      <c r="I83" s="0" t="s">
        <v>62</v>
      </c>
      <c r="J83" s="0" t="str">
        <f aca="false">"128-139"</f>
        <v>128-139</v>
      </c>
      <c r="K83" s="0" t="str">
        <f aca="false">"1.07"</f>
        <v>1.07</v>
      </c>
      <c r="L83" s="0" t="str">
        <f aca="false">"9.71"</f>
        <v>9.71</v>
      </c>
      <c r="M83" s="0" t="str">
        <f aca="false">"-146.3"</f>
        <v>-146.3</v>
      </c>
    </row>
    <row r="84" customFormat="false" ht="12.8" hidden="false" customHeight="false" outlineLevel="0" collapsed="false">
      <c r="A84" s="0" t="s">
        <v>1692</v>
      </c>
      <c r="B84" s="0" t="s">
        <v>9</v>
      </c>
      <c r="C84" s="0" t="str">
        <f aca="false">"26-37"</f>
        <v>26-37</v>
      </c>
      <c r="D84" s="0" t="s">
        <v>9</v>
      </c>
      <c r="E84" s="0" t="str">
        <f aca="false">"94-105"</f>
        <v>94-105</v>
      </c>
      <c r="F84" s="0" t="s">
        <v>1743</v>
      </c>
      <c r="G84" s="0" t="s">
        <v>9</v>
      </c>
      <c r="H84" s="0" t="str">
        <f aca="false">"98-109"</f>
        <v>98-109</v>
      </c>
      <c r="I84" s="0" t="s">
        <v>9</v>
      </c>
      <c r="J84" s="0" t="str">
        <f aca="false">"122-133"</f>
        <v>122-133</v>
      </c>
      <c r="K84" s="0" t="str">
        <f aca="false">"0.90"</f>
        <v>0.90</v>
      </c>
      <c r="L84" s="0" t="str">
        <f aca="false">"11.11"</f>
        <v>11.11</v>
      </c>
      <c r="M84" s="0" t="str">
        <f aca="false">"-143.9"</f>
        <v>-143.9</v>
      </c>
    </row>
    <row r="85" customFormat="false" ht="12.8" hidden="false" customHeight="false" outlineLevel="0" collapsed="false">
      <c r="A85" s="0" t="s">
        <v>1692</v>
      </c>
      <c r="B85" s="0" t="s">
        <v>9</v>
      </c>
      <c r="C85" s="0" t="str">
        <f aca="false">"27-38"</f>
        <v>27-38</v>
      </c>
      <c r="D85" s="0" t="s">
        <v>9</v>
      </c>
      <c r="E85" s="0" t="str">
        <f aca="false">"91-102"</f>
        <v>91-102</v>
      </c>
      <c r="F85" s="0" t="s">
        <v>1744</v>
      </c>
      <c r="G85" s="0" t="s">
        <v>13</v>
      </c>
      <c r="H85" s="0" t="str">
        <f aca="false">"62-73"</f>
        <v>62-73</v>
      </c>
      <c r="I85" s="0" t="s">
        <v>13</v>
      </c>
      <c r="J85" s="0" t="str">
        <f aca="false">"85-96"</f>
        <v>85-96</v>
      </c>
      <c r="K85" s="0" t="str">
        <f aca="false">"0.83"</f>
        <v>0.83</v>
      </c>
      <c r="L85" s="0" t="str">
        <f aca="false">"10.66"</f>
        <v>10.66</v>
      </c>
      <c r="M85" s="0" t="str">
        <f aca="false">"-150.9"</f>
        <v>-150.9</v>
      </c>
    </row>
    <row r="86" customFormat="false" ht="12.8" hidden="false" customHeight="false" outlineLevel="0" collapsed="false">
      <c r="A86" s="0" t="s">
        <v>1692</v>
      </c>
      <c r="B86" s="0" t="s">
        <v>9</v>
      </c>
      <c r="C86" s="0" t="str">
        <f aca="false">"26-37"</f>
        <v>26-37</v>
      </c>
      <c r="D86" s="0" t="s">
        <v>9</v>
      </c>
      <c r="E86" s="0" t="str">
        <f aca="false">"91-102"</f>
        <v>91-102</v>
      </c>
      <c r="F86" s="0" t="s">
        <v>1745</v>
      </c>
      <c r="G86" s="0" t="s">
        <v>9</v>
      </c>
      <c r="H86" s="0" t="str">
        <f aca="false">"40-51"</f>
        <v>40-51</v>
      </c>
      <c r="I86" s="0" t="s">
        <v>9</v>
      </c>
      <c r="J86" s="0" t="str">
        <f aca="false">"94-105"</f>
        <v>94-105</v>
      </c>
      <c r="K86" s="0" t="str">
        <f aca="false">"1.18"</f>
        <v>1.18</v>
      </c>
      <c r="L86" s="0" t="str">
        <f aca="false">"11.55"</f>
        <v>11.55</v>
      </c>
      <c r="M86" s="0" t="str">
        <f aca="false">"-148.4"</f>
        <v>-148.4</v>
      </c>
    </row>
    <row r="87" customFormat="false" ht="12.8" hidden="false" customHeight="false" outlineLevel="0" collapsed="false">
      <c r="A87" s="0" t="s">
        <v>1692</v>
      </c>
      <c r="B87" s="0" t="s">
        <v>9</v>
      </c>
      <c r="C87" s="0" t="str">
        <f aca="false">"27-38"</f>
        <v>27-38</v>
      </c>
      <c r="D87" s="0" t="s">
        <v>9</v>
      </c>
      <c r="E87" s="0" t="str">
        <f aca="false">"91-102"</f>
        <v>91-102</v>
      </c>
      <c r="F87" s="0" t="s">
        <v>1746</v>
      </c>
      <c r="G87" s="0" t="s">
        <v>120</v>
      </c>
      <c r="H87" s="0" t="str">
        <f aca="false">"207-218"</f>
        <v>207-218</v>
      </c>
      <c r="I87" s="0" t="s">
        <v>120</v>
      </c>
      <c r="J87" s="0" t="str">
        <f aca="false">"170-181"</f>
        <v>170-181</v>
      </c>
      <c r="K87" s="0" t="str">
        <f aca="false">"1.13"</f>
        <v>1.13</v>
      </c>
      <c r="L87" s="0" t="str">
        <f aca="false">"12.08"</f>
        <v>12.08</v>
      </c>
      <c r="M87" s="0" t="str">
        <f aca="false">"-138.6"</f>
        <v>-138.6</v>
      </c>
    </row>
    <row r="88" customFormat="false" ht="12.8" hidden="false" customHeight="false" outlineLevel="0" collapsed="false">
      <c r="A88" s="0" t="s">
        <v>1692</v>
      </c>
      <c r="B88" s="0" t="s">
        <v>9</v>
      </c>
      <c r="C88" s="0" t="str">
        <f aca="false">"28-39"</f>
        <v>28-39</v>
      </c>
      <c r="D88" s="0" t="s">
        <v>9</v>
      </c>
      <c r="E88" s="0" t="str">
        <f aca="false">"91-102"</f>
        <v>91-102</v>
      </c>
      <c r="F88" s="0" t="s">
        <v>1747</v>
      </c>
      <c r="G88" s="0" t="s">
        <v>120</v>
      </c>
      <c r="H88" s="0" t="str">
        <f aca="false">"161-172"</f>
        <v>161-172</v>
      </c>
      <c r="I88" s="0" t="s">
        <v>120</v>
      </c>
      <c r="J88" s="0" t="str">
        <f aca="false">"50-61"</f>
        <v>50-61</v>
      </c>
      <c r="K88" s="0" t="str">
        <f aca="false">"1.19"</f>
        <v>1.19</v>
      </c>
      <c r="L88" s="0" t="str">
        <f aca="false">"11.31"</f>
        <v>11.31</v>
      </c>
      <c r="M88" s="0" t="str">
        <f aca="false">"-147.4"</f>
        <v>-147.4</v>
      </c>
    </row>
    <row r="89" customFormat="false" ht="12.8" hidden="false" customHeight="false" outlineLevel="0" collapsed="false">
      <c r="A89" s="0" t="s">
        <v>1692</v>
      </c>
      <c r="B89" s="0" t="s">
        <v>9</v>
      </c>
      <c r="C89" s="0" t="str">
        <f aca="false">"27-38"</f>
        <v>27-38</v>
      </c>
      <c r="D89" s="0" t="s">
        <v>9</v>
      </c>
      <c r="E89" s="0" t="str">
        <f aca="false">"91-102"</f>
        <v>91-102</v>
      </c>
      <c r="F89" s="0" t="s">
        <v>1748</v>
      </c>
      <c r="G89" s="0" t="s">
        <v>9</v>
      </c>
      <c r="H89" s="0" t="str">
        <f aca="false">"1371-1382"</f>
        <v>1371-1382</v>
      </c>
      <c r="I89" s="0" t="s">
        <v>9</v>
      </c>
      <c r="J89" s="0" t="str">
        <f aca="false">"1232-1243"</f>
        <v>1232-1243</v>
      </c>
      <c r="K89" s="0" t="str">
        <f aca="false">"1.21"</f>
        <v>1.21</v>
      </c>
      <c r="L89" s="0" t="str">
        <f aca="false">"10.96"</f>
        <v>10.96</v>
      </c>
      <c r="M89" s="0" t="str">
        <f aca="false">"-146.6"</f>
        <v>-146.6</v>
      </c>
    </row>
    <row r="90" customFormat="false" ht="12.8" hidden="false" customHeight="false" outlineLevel="0" collapsed="false">
      <c r="A90" s="0" t="s">
        <v>1692</v>
      </c>
      <c r="B90" s="0" t="s">
        <v>9</v>
      </c>
      <c r="C90" s="0" t="str">
        <f aca="false">"27-38"</f>
        <v>27-38</v>
      </c>
      <c r="D90" s="0" t="s">
        <v>9</v>
      </c>
      <c r="E90" s="0" t="str">
        <f aca="false">"91-102"</f>
        <v>91-102</v>
      </c>
      <c r="F90" s="0" t="s">
        <v>1749</v>
      </c>
      <c r="G90" s="0" t="s">
        <v>13</v>
      </c>
      <c r="H90" s="0" t="str">
        <f aca="false">"79-90"</f>
        <v>79-90</v>
      </c>
      <c r="I90" s="0" t="s">
        <v>13</v>
      </c>
      <c r="J90" s="0" t="str">
        <f aca="false">"162-173"</f>
        <v>162-173</v>
      </c>
      <c r="K90" s="0" t="str">
        <f aca="false">"1.08"</f>
        <v>1.08</v>
      </c>
      <c r="L90" s="0" t="str">
        <f aca="false">"11.39"</f>
        <v>11.39</v>
      </c>
      <c r="M90" s="0" t="str">
        <f aca="false">"-152.3"</f>
        <v>-152.3</v>
      </c>
    </row>
    <row r="91" customFormat="false" ht="12.8" hidden="false" customHeight="false" outlineLevel="0" collapsed="false">
      <c r="A91" s="0" t="s">
        <v>1692</v>
      </c>
      <c r="B91" s="0" t="s">
        <v>9</v>
      </c>
      <c r="C91" s="0" t="str">
        <f aca="false">"24-35"</f>
        <v>24-35</v>
      </c>
      <c r="D91" s="0" t="s">
        <v>9</v>
      </c>
      <c r="E91" s="0" t="str">
        <f aca="false">"95-106"</f>
        <v>95-106</v>
      </c>
      <c r="F91" s="0" t="s">
        <v>1750</v>
      </c>
      <c r="G91" s="0" t="s">
        <v>9</v>
      </c>
      <c r="H91" s="0" t="str">
        <f aca="false">"174-185"</f>
        <v>174-185</v>
      </c>
      <c r="I91" s="0" t="s">
        <v>9</v>
      </c>
      <c r="J91" s="0" t="str">
        <f aca="false">"193-204"</f>
        <v>193-204</v>
      </c>
      <c r="K91" s="0" t="str">
        <f aca="false">"1.02"</f>
        <v>1.02</v>
      </c>
      <c r="L91" s="0" t="str">
        <f aca="false">"9.89"</f>
        <v>9.89</v>
      </c>
      <c r="M91" s="0" t="str">
        <f aca="false">"-151.8"</f>
        <v>-151.8</v>
      </c>
    </row>
    <row r="92" customFormat="false" ht="12.8" hidden="false" customHeight="false" outlineLevel="0" collapsed="false">
      <c r="A92" s="0" t="s">
        <v>1692</v>
      </c>
      <c r="B92" s="0" t="s">
        <v>9</v>
      </c>
      <c r="C92" s="0" t="str">
        <f aca="false">"27-38"</f>
        <v>27-38</v>
      </c>
      <c r="D92" s="0" t="s">
        <v>9</v>
      </c>
      <c r="E92" s="0" t="str">
        <f aca="false">"91-102"</f>
        <v>91-102</v>
      </c>
      <c r="F92" s="0" t="s">
        <v>1751</v>
      </c>
      <c r="G92" s="0" t="s">
        <v>9</v>
      </c>
      <c r="H92" s="0" t="str">
        <f aca="false">"161-172"</f>
        <v>161-172</v>
      </c>
      <c r="I92" s="0" t="s">
        <v>9</v>
      </c>
      <c r="J92" s="0" t="str">
        <f aca="false">"13-24"</f>
        <v>13-24</v>
      </c>
      <c r="K92" s="0" t="str">
        <f aca="false">"1.25"</f>
        <v>1.25</v>
      </c>
      <c r="L92" s="0" t="str">
        <f aca="false">"10.54"</f>
        <v>10.54</v>
      </c>
      <c r="M92" s="0" t="str">
        <f aca="false">"-150.8"</f>
        <v>-150.8</v>
      </c>
    </row>
    <row r="93" customFormat="false" ht="12.8" hidden="false" customHeight="false" outlineLevel="0" collapsed="false">
      <c r="A93" s="0" t="s">
        <v>1692</v>
      </c>
      <c r="B93" s="0" t="s">
        <v>9</v>
      </c>
      <c r="C93" s="0" t="str">
        <f aca="false">"26-37"</f>
        <v>26-37</v>
      </c>
      <c r="D93" s="0" t="s">
        <v>9</v>
      </c>
      <c r="E93" s="0" t="str">
        <f aca="false">"91-102"</f>
        <v>91-102</v>
      </c>
      <c r="F93" s="0" t="s">
        <v>1752</v>
      </c>
      <c r="G93" s="0" t="s">
        <v>13</v>
      </c>
      <c r="H93" s="0" t="str">
        <f aca="false">"274-285"</f>
        <v>274-285</v>
      </c>
      <c r="I93" s="0" t="s">
        <v>13</v>
      </c>
      <c r="J93" s="0" t="str">
        <f aca="false">"254-265"</f>
        <v>254-265</v>
      </c>
      <c r="K93" s="0" t="str">
        <f aca="false">"1.23"</f>
        <v>1.23</v>
      </c>
      <c r="L93" s="0" t="str">
        <f aca="false">"10.81"</f>
        <v>10.81</v>
      </c>
      <c r="M93" s="0" t="str">
        <f aca="false">"-138.5"</f>
        <v>-138.5</v>
      </c>
    </row>
    <row r="94" customFormat="false" ht="12.8" hidden="false" customHeight="false" outlineLevel="0" collapsed="false">
      <c r="A94" s="0" t="s">
        <v>1692</v>
      </c>
      <c r="B94" s="0" t="s">
        <v>9</v>
      </c>
      <c r="C94" s="0" t="str">
        <f aca="false">"27-38"</f>
        <v>27-38</v>
      </c>
      <c r="D94" s="0" t="s">
        <v>9</v>
      </c>
      <c r="E94" s="0" t="str">
        <f aca="false">"91-102"</f>
        <v>91-102</v>
      </c>
      <c r="F94" s="0" t="s">
        <v>1753</v>
      </c>
      <c r="G94" s="0" t="s">
        <v>71</v>
      </c>
      <c r="H94" s="0" t="str">
        <f aca="false">"92-103"</f>
        <v>92-103</v>
      </c>
      <c r="I94" s="0" t="s">
        <v>71</v>
      </c>
      <c r="J94" s="0" t="str">
        <f aca="false">"15-26"</f>
        <v>15-26</v>
      </c>
      <c r="K94" s="0" t="str">
        <f aca="false">"0.94"</f>
        <v>0.94</v>
      </c>
      <c r="L94" s="0" t="str">
        <f aca="false">"10.46"</f>
        <v>10.46</v>
      </c>
      <c r="M94" s="0" t="str">
        <f aca="false">"-155.3"</f>
        <v>-155.3</v>
      </c>
    </row>
    <row r="95" customFormat="false" ht="12.8" hidden="false" customHeight="false" outlineLevel="0" collapsed="false">
      <c r="A95" s="0" t="s">
        <v>1692</v>
      </c>
      <c r="B95" s="0" t="s">
        <v>9</v>
      </c>
      <c r="C95" s="0" t="str">
        <f aca="false">"27-38"</f>
        <v>27-38</v>
      </c>
      <c r="D95" s="0" t="s">
        <v>9</v>
      </c>
      <c r="E95" s="0" t="str">
        <f aca="false">"91-102"</f>
        <v>91-102</v>
      </c>
      <c r="F95" s="0" t="s">
        <v>1754</v>
      </c>
      <c r="G95" s="0" t="s">
        <v>9</v>
      </c>
      <c r="H95" s="0" t="str">
        <f aca="false">"163-174"</f>
        <v>163-174</v>
      </c>
      <c r="I95" s="0" t="s">
        <v>9</v>
      </c>
      <c r="J95" s="0" t="str">
        <f aca="false">"120-131"</f>
        <v>120-131</v>
      </c>
      <c r="K95" s="0" t="str">
        <f aca="false">"1.15"</f>
        <v>1.15</v>
      </c>
      <c r="L95" s="0" t="str">
        <f aca="false">"11.67"</f>
        <v>11.67</v>
      </c>
      <c r="M95" s="0" t="str">
        <f aca="false">"-142.6"</f>
        <v>-142.6</v>
      </c>
    </row>
    <row r="96" customFormat="false" ht="12.8" hidden="false" customHeight="false" outlineLevel="0" collapsed="false">
      <c r="A96" s="0" t="s">
        <v>1692</v>
      </c>
      <c r="B96" s="0" t="s">
        <v>9</v>
      </c>
      <c r="C96" s="0" t="str">
        <f aca="false">"27-38"</f>
        <v>27-38</v>
      </c>
      <c r="D96" s="0" t="s">
        <v>9</v>
      </c>
      <c r="E96" s="0" t="str">
        <f aca="false">"91-102"</f>
        <v>91-102</v>
      </c>
      <c r="F96" s="0" t="s">
        <v>1755</v>
      </c>
      <c r="G96" s="0" t="s">
        <v>13</v>
      </c>
      <c r="H96" s="0" t="str">
        <f aca="false">"217-228"</f>
        <v>217-228</v>
      </c>
      <c r="I96" s="0" t="s">
        <v>13</v>
      </c>
      <c r="J96" s="0" t="str">
        <f aca="false">"240-251"</f>
        <v>240-251</v>
      </c>
      <c r="K96" s="0" t="str">
        <f aca="false">"1.13"</f>
        <v>1.13</v>
      </c>
      <c r="L96" s="0" t="str">
        <f aca="false">"9.81"</f>
        <v>9.81</v>
      </c>
      <c r="M96" s="0" t="str">
        <f aca="false">"-147.1"</f>
        <v>-147.1</v>
      </c>
    </row>
    <row r="97" customFormat="false" ht="12.8" hidden="false" customHeight="false" outlineLevel="0" collapsed="false">
      <c r="A97" s="0" t="s">
        <v>1692</v>
      </c>
      <c r="B97" s="0" t="s">
        <v>9</v>
      </c>
      <c r="C97" s="0" t="str">
        <f aca="false">"27-38"</f>
        <v>27-38</v>
      </c>
      <c r="D97" s="0" t="s">
        <v>9</v>
      </c>
      <c r="E97" s="0" t="str">
        <f aca="false">"91-102"</f>
        <v>91-102</v>
      </c>
      <c r="F97" s="0" t="s">
        <v>1756</v>
      </c>
      <c r="G97" s="0" t="s">
        <v>9</v>
      </c>
      <c r="H97" s="0" t="str">
        <f aca="false">"333-344"</f>
        <v>333-344</v>
      </c>
      <c r="I97" s="0" t="s">
        <v>9</v>
      </c>
      <c r="J97" s="0" t="str">
        <f aca="false">"298-309"</f>
        <v>298-309</v>
      </c>
      <c r="K97" s="0" t="str">
        <f aca="false">"0.91"</f>
        <v>0.91</v>
      </c>
      <c r="L97" s="0" t="str">
        <f aca="false">"10.07"</f>
        <v>10.07</v>
      </c>
      <c r="M97" s="0" t="str">
        <f aca="false">"-159.5"</f>
        <v>-159.5</v>
      </c>
    </row>
    <row r="98" customFormat="false" ht="12.8" hidden="false" customHeight="false" outlineLevel="0" collapsed="false">
      <c r="A98" s="0" t="s">
        <v>1692</v>
      </c>
      <c r="B98" s="0" t="s">
        <v>9</v>
      </c>
      <c r="C98" s="0" t="str">
        <f aca="false">"27-38"</f>
        <v>27-38</v>
      </c>
      <c r="D98" s="0" t="s">
        <v>9</v>
      </c>
      <c r="E98" s="0" t="str">
        <f aca="false">"91-102"</f>
        <v>91-102</v>
      </c>
      <c r="F98" s="0" t="s">
        <v>1757</v>
      </c>
      <c r="G98" s="0" t="s">
        <v>9</v>
      </c>
      <c r="H98" s="0" t="str">
        <f aca="false">"193-204"</f>
        <v>193-204</v>
      </c>
      <c r="I98" s="0" t="s">
        <v>9</v>
      </c>
      <c r="J98" s="0" t="str">
        <f aca="false">"171-182"</f>
        <v>171-182</v>
      </c>
      <c r="K98" s="0" t="str">
        <f aca="false">"1.18"</f>
        <v>1.18</v>
      </c>
      <c r="L98" s="0" t="str">
        <f aca="false">"9.71"</f>
        <v>9.71</v>
      </c>
      <c r="M98" s="0" t="str">
        <f aca="false">"-156.9"</f>
        <v>-156.9</v>
      </c>
    </row>
    <row r="99" customFormat="false" ht="12.8" hidden="false" customHeight="false" outlineLevel="0" collapsed="false">
      <c r="A99" s="0" t="s">
        <v>1692</v>
      </c>
      <c r="B99" s="0" t="s">
        <v>9</v>
      </c>
      <c r="C99" s="0" t="str">
        <f aca="false">"27-38"</f>
        <v>27-38</v>
      </c>
      <c r="D99" s="0" t="s">
        <v>9</v>
      </c>
      <c r="E99" s="0" t="str">
        <f aca="false">"91-102"</f>
        <v>91-102</v>
      </c>
      <c r="F99" s="0" t="s">
        <v>1758</v>
      </c>
      <c r="G99" s="0" t="s">
        <v>9</v>
      </c>
      <c r="H99" s="0" t="str">
        <f aca="false">"113-124"</f>
        <v>113-124</v>
      </c>
      <c r="I99" s="0" t="s">
        <v>9</v>
      </c>
      <c r="J99" s="0" t="str">
        <f aca="false">"87-98"</f>
        <v>87-98</v>
      </c>
      <c r="K99" s="0" t="str">
        <f aca="false">"1.00"</f>
        <v>1.00</v>
      </c>
      <c r="L99" s="0" t="str">
        <f aca="false">"10.86"</f>
        <v>10.86</v>
      </c>
      <c r="M99" s="0" t="str">
        <f aca="false">"-153.7"</f>
        <v>-153.7</v>
      </c>
    </row>
    <row r="100" customFormat="false" ht="12.8" hidden="false" customHeight="false" outlineLevel="0" collapsed="false">
      <c r="A100" s="0" t="s">
        <v>1692</v>
      </c>
      <c r="B100" s="0" t="s">
        <v>9</v>
      </c>
      <c r="C100" s="0" t="str">
        <f aca="false">"30-41"</f>
        <v>30-41</v>
      </c>
      <c r="D100" s="0" t="s">
        <v>9</v>
      </c>
      <c r="E100" s="0" t="str">
        <f aca="false">"88-99"</f>
        <v>88-99</v>
      </c>
      <c r="F100" s="0" t="s">
        <v>1759</v>
      </c>
      <c r="G100" s="0" t="s">
        <v>13</v>
      </c>
      <c r="H100" s="0" t="str">
        <f aca="false">"20-31"</f>
        <v>20-31</v>
      </c>
      <c r="I100" s="0" t="s">
        <v>13</v>
      </c>
      <c r="J100" s="0" t="str">
        <f aca="false">"144-155"</f>
        <v>144-155</v>
      </c>
      <c r="K100" s="0" t="str">
        <f aca="false">"1.17"</f>
        <v>1.17</v>
      </c>
      <c r="L100" s="0" t="str">
        <f aca="false">"12.73"</f>
        <v>12.73</v>
      </c>
      <c r="M100" s="0" t="str">
        <f aca="false">"-155.0"</f>
        <v>-155.0</v>
      </c>
    </row>
    <row r="101" customFormat="false" ht="12.8" hidden="false" customHeight="false" outlineLevel="0" collapsed="false">
      <c r="A101" s="0" t="s">
        <v>1692</v>
      </c>
      <c r="B101" s="0" t="s">
        <v>9</v>
      </c>
      <c r="C101" s="0" t="str">
        <f aca="false">"30-41"</f>
        <v>30-41</v>
      </c>
      <c r="D101" s="0" t="s">
        <v>9</v>
      </c>
      <c r="E101" s="0" t="str">
        <f aca="false">"88-99"</f>
        <v>88-99</v>
      </c>
      <c r="F101" s="0" t="s">
        <v>1760</v>
      </c>
      <c r="G101" s="0" t="s">
        <v>9</v>
      </c>
      <c r="H101" s="0" t="str">
        <f aca="false">"106-117"</f>
        <v>106-117</v>
      </c>
      <c r="I101" s="0" t="s">
        <v>9</v>
      </c>
      <c r="J101" s="0" t="str">
        <f aca="false">"7-18"</f>
        <v>7-18</v>
      </c>
      <c r="K101" s="0" t="str">
        <f aca="false">"0.92"</f>
        <v>0.92</v>
      </c>
      <c r="L101" s="0" t="str">
        <f aca="false">"12.12"</f>
        <v>12.12</v>
      </c>
      <c r="M101" s="0" t="str">
        <f aca="false">"-162.0"</f>
        <v>-162.0</v>
      </c>
    </row>
    <row r="102" customFormat="false" ht="12.8" hidden="false" customHeight="false" outlineLevel="0" collapsed="false">
      <c r="A102" s="0" t="s">
        <v>1692</v>
      </c>
      <c r="B102" s="0" t="s">
        <v>9</v>
      </c>
      <c r="C102" s="0" t="str">
        <f aca="false">"30-41"</f>
        <v>30-41</v>
      </c>
      <c r="D102" s="0" t="s">
        <v>9</v>
      </c>
      <c r="E102" s="0" t="str">
        <f aca="false">"88-99"</f>
        <v>88-99</v>
      </c>
      <c r="F102" s="0" t="s">
        <v>1761</v>
      </c>
      <c r="G102" s="0" t="s">
        <v>9</v>
      </c>
      <c r="H102" s="0" t="str">
        <f aca="false">"161-172"</f>
        <v>161-172</v>
      </c>
      <c r="I102" s="0" t="s">
        <v>9</v>
      </c>
      <c r="J102" s="0" t="str">
        <f aca="false">"47-58"</f>
        <v>47-58</v>
      </c>
      <c r="K102" s="0" t="str">
        <f aca="false">"0.91"</f>
        <v>0.91</v>
      </c>
      <c r="L102" s="0" t="str">
        <f aca="false">"11.71"</f>
        <v>11.71</v>
      </c>
      <c r="M102" s="0" t="str">
        <f aca="false">"-161.5"</f>
        <v>-161.5</v>
      </c>
    </row>
    <row r="103" customFormat="false" ht="12.8" hidden="false" customHeight="false" outlineLevel="0" collapsed="false">
      <c r="A103" s="0" t="s">
        <v>1692</v>
      </c>
      <c r="B103" s="0" t="s">
        <v>9</v>
      </c>
      <c r="C103" s="0" t="str">
        <f aca="false">"30-41"</f>
        <v>30-41</v>
      </c>
      <c r="D103" s="0" t="s">
        <v>9</v>
      </c>
      <c r="E103" s="0" t="str">
        <f aca="false">"87-98"</f>
        <v>87-98</v>
      </c>
      <c r="F103" s="0" t="s">
        <v>1762</v>
      </c>
      <c r="G103" s="0" t="s">
        <v>9</v>
      </c>
      <c r="H103" s="0" t="str">
        <f aca="false">"143-154"</f>
        <v>143-154</v>
      </c>
      <c r="I103" s="0" t="s">
        <v>9</v>
      </c>
      <c r="J103" s="0" t="str">
        <f aca="false">"221-232"</f>
        <v>221-232</v>
      </c>
      <c r="K103" s="0" t="str">
        <f aca="false">"1.23"</f>
        <v>1.23</v>
      </c>
      <c r="L103" s="0" t="str">
        <f aca="false">"11.80"</f>
        <v>11.80</v>
      </c>
      <c r="M103" s="0" t="str">
        <f aca="false">"-162.3"</f>
        <v>-162.3</v>
      </c>
    </row>
    <row r="104" customFormat="false" ht="12.8" hidden="false" customHeight="false" outlineLevel="0" collapsed="false">
      <c r="A104" s="0" t="s">
        <v>1692</v>
      </c>
      <c r="B104" s="0" t="s">
        <v>9</v>
      </c>
      <c r="C104" s="0" t="str">
        <f aca="false">"30-41"</f>
        <v>30-41</v>
      </c>
      <c r="D104" s="0" t="s">
        <v>9</v>
      </c>
      <c r="E104" s="0" t="str">
        <f aca="false">"88-99"</f>
        <v>88-99</v>
      </c>
      <c r="F104" s="0" t="s">
        <v>1763</v>
      </c>
      <c r="G104" s="0" t="s">
        <v>13</v>
      </c>
      <c r="H104" s="0" t="str">
        <f aca="false">"25-36"</f>
        <v>25-36</v>
      </c>
      <c r="I104" s="0" t="s">
        <v>9</v>
      </c>
      <c r="J104" s="0" t="str">
        <f aca="false">"14-25"</f>
        <v>14-25</v>
      </c>
      <c r="K104" s="0" t="str">
        <f aca="false">"0.96"</f>
        <v>0.96</v>
      </c>
      <c r="L104" s="0" t="str">
        <f aca="false">"10.85"</f>
        <v>10.85</v>
      </c>
      <c r="M104" s="0" t="str">
        <f aca="false">"-161.2"</f>
        <v>-161.2</v>
      </c>
    </row>
    <row r="105" customFormat="false" ht="12.8" hidden="false" customHeight="false" outlineLevel="0" collapsed="false">
      <c r="A105" s="0" t="s">
        <v>1692</v>
      </c>
      <c r="B105" s="0" t="s">
        <v>9</v>
      </c>
      <c r="C105" s="0" t="str">
        <f aca="false">"27-38"</f>
        <v>27-38</v>
      </c>
      <c r="D105" s="0" t="s">
        <v>9</v>
      </c>
      <c r="E105" s="0" t="str">
        <f aca="false">"91-102"</f>
        <v>91-102</v>
      </c>
      <c r="F105" s="0" t="s">
        <v>1764</v>
      </c>
      <c r="G105" s="0" t="s">
        <v>13</v>
      </c>
      <c r="H105" s="0" t="str">
        <f aca="false">"54-65"</f>
        <v>54-65</v>
      </c>
      <c r="I105" s="0" t="s">
        <v>13</v>
      </c>
      <c r="J105" s="0" t="str">
        <f aca="false">"165-176"</f>
        <v>165-176</v>
      </c>
      <c r="K105" s="0" t="str">
        <f aca="false">"1.14"</f>
        <v>1.14</v>
      </c>
      <c r="L105" s="0" t="str">
        <f aca="false">"11.31"</f>
        <v>11.31</v>
      </c>
      <c r="M105" s="0" t="str">
        <f aca="false">"-162.2"</f>
        <v>-162.2</v>
      </c>
    </row>
    <row r="106" customFormat="false" ht="12.8" hidden="false" customHeight="false" outlineLevel="0" collapsed="false">
      <c r="A106" s="0" t="s">
        <v>1692</v>
      </c>
      <c r="B106" s="0" t="s">
        <v>9</v>
      </c>
      <c r="C106" s="0" t="str">
        <f aca="false">"27-38"</f>
        <v>27-38</v>
      </c>
      <c r="D106" s="0" t="s">
        <v>9</v>
      </c>
      <c r="E106" s="0" t="str">
        <f aca="false">"91-102"</f>
        <v>91-102</v>
      </c>
      <c r="F106" s="0" t="s">
        <v>1765</v>
      </c>
      <c r="G106" s="0" t="s">
        <v>9</v>
      </c>
      <c r="H106" s="0" t="str">
        <f aca="false">"229-240"</f>
        <v>229-240</v>
      </c>
      <c r="I106" s="0" t="s">
        <v>13</v>
      </c>
      <c r="J106" s="0" t="str">
        <f aca="false">"232-243"</f>
        <v>232-243</v>
      </c>
      <c r="K106" s="0" t="str">
        <f aca="false">"0.67"</f>
        <v>0.67</v>
      </c>
      <c r="L106" s="0" t="str">
        <f aca="false">"10.88"</f>
        <v>10.88</v>
      </c>
      <c r="M106" s="0" t="str">
        <f aca="false">"-140.5"</f>
        <v>-140.5</v>
      </c>
    </row>
    <row r="107" customFormat="false" ht="12.8" hidden="false" customHeight="false" outlineLevel="0" collapsed="false">
      <c r="A107" s="0" t="s">
        <v>1692</v>
      </c>
      <c r="B107" s="0" t="s">
        <v>9</v>
      </c>
      <c r="C107" s="0" t="str">
        <f aca="false">"27-38"</f>
        <v>27-38</v>
      </c>
      <c r="D107" s="0" t="s">
        <v>9</v>
      </c>
      <c r="E107" s="0" t="str">
        <f aca="false">"91-102"</f>
        <v>91-102</v>
      </c>
      <c r="F107" s="0" t="s">
        <v>1766</v>
      </c>
      <c r="G107" s="0" t="s">
        <v>9</v>
      </c>
      <c r="H107" s="0" t="str">
        <f aca="false">"240-251"</f>
        <v>240-251</v>
      </c>
      <c r="I107" s="0" t="s">
        <v>9</v>
      </c>
      <c r="J107" s="0" t="str">
        <f aca="false">"201-212"</f>
        <v>201-212</v>
      </c>
      <c r="K107" s="0" t="str">
        <f aca="false">"0.86"</f>
        <v>0.86</v>
      </c>
      <c r="L107" s="0" t="str">
        <f aca="false">"12.18"</f>
        <v>12.18</v>
      </c>
      <c r="M107" s="0" t="str">
        <f aca="false">"-148.8"</f>
        <v>-148.8</v>
      </c>
    </row>
    <row r="108" customFormat="false" ht="12.8" hidden="false" customHeight="false" outlineLevel="0" collapsed="false">
      <c r="A108" s="0" t="s">
        <v>1692</v>
      </c>
      <c r="B108" s="0" t="s">
        <v>9</v>
      </c>
      <c r="C108" s="0" t="str">
        <f aca="false">"27-38"</f>
        <v>27-38</v>
      </c>
      <c r="D108" s="0" t="s">
        <v>9</v>
      </c>
      <c r="E108" s="0" t="str">
        <f aca="false">"91-102"</f>
        <v>91-102</v>
      </c>
      <c r="F108" s="0" t="s">
        <v>1767</v>
      </c>
      <c r="G108" s="0" t="s">
        <v>120</v>
      </c>
      <c r="H108" s="0" t="str">
        <f aca="false">"329-340"</f>
        <v>329-340</v>
      </c>
      <c r="I108" s="0" t="s">
        <v>120</v>
      </c>
      <c r="J108" s="0" t="str">
        <f aca="false">"304-315"</f>
        <v>304-315</v>
      </c>
      <c r="K108" s="0" t="str">
        <f aca="false">"0.96"</f>
        <v>0.96</v>
      </c>
      <c r="L108" s="0" t="str">
        <f aca="false">"11.09"</f>
        <v>11.09</v>
      </c>
      <c r="M108" s="0" t="str">
        <f aca="false">"-148.3"</f>
        <v>-148.3</v>
      </c>
    </row>
    <row r="109" customFormat="false" ht="12.8" hidden="false" customHeight="false" outlineLevel="0" collapsed="false">
      <c r="A109" s="0" t="s">
        <v>1692</v>
      </c>
      <c r="B109" s="0" t="s">
        <v>9</v>
      </c>
      <c r="C109" s="0" t="str">
        <f aca="false">"27-38"</f>
        <v>27-38</v>
      </c>
      <c r="D109" s="0" t="s">
        <v>9</v>
      </c>
      <c r="E109" s="0" t="str">
        <f aca="false">"91-102"</f>
        <v>91-102</v>
      </c>
      <c r="F109" s="0" t="s">
        <v>1768</v>
      </c>
      <c r="G109" s="0" t="s">
        <v>9</v>
      </c>
      <c r="H109" s="0" t="str">
        <f aca="false">"49-60"</f>
        <v>49-60</v>
      </c>
      <c r="I109" s="0" t="s">
        <v>9</v>
      </c>
      <c r="J109" s="0" t="str">
        <f aca="false">"103-114"</f>
        <v>103-114</v>
      </c>
      <c r="K109" s="0" t="str">
        <f aca="false">"0.73"</f>
        <v>0.73</v>
      </c>
      <c r="L109" s="0" t="str">
        <f aca="false">"10.76"</f>
        <v>10.76</v>
      </c>
      <c r="M109" s="0" t="str">
        <f aca="false">"-146.4"</f>
        <v>-146.4</v>
      </c>
    </row>
    <row r="110" customFormat="false" ht="12.8" hidden="false" customHeight="false" outlineLevel="0" collapsed="false">
      <c r="A110" s="0" t="s">
        <v>1692</v>
      </c>
      <c r="B110" s="0" t="s">
        <v>9</v>
      </c>
      <c r="C110" s="0" t="str">
        <f aca="false">"27-38"</f>
        <v>27-38</v>
      </c>
      <c r="D110" s="0" t="s">
        <v>9</v>
      </c>
      <c r="E110" s="0" t="str">
        <f aca="false">"91-102"</f>
        <v>91-102</v>
      </c>
      <c r="F110" s="0" t="s">
        <v>516</v>
      </c>
      <c r="G110" s="0" t="s">
        <v>71</v>
      </c>
      <c r="H110" s="0" t="str">
        <f aca="false">"29-40"</f>
        <v>29-40</v>
      </c>
      <c r="I110" s="0" t="s">
        <v>71</v>
      </c>
      <c r="J110" s="0" t="str">
        <f aca="false">"106-117"</f>
        <v>106-117</v>
      </c>
      <c r="K110" s="0" t="str">
        <f aca="false">"1.18"</f>
        <v>1.18</v>
      </c>
      <c r="L110" s="0" t="str">
        <f aca="false">"10.75"</f>
        <v>10.75</v>
      </c>
      <c r="M110" s="0" t="str">
        <f aca="false">"-165.7"</f>
        <v>-165.7</v>
      </c>
    </row>
    <row r="111" customFormat="false" ht="12.8" hidden="false" customHeight="false" outlineLevel="0" collapsed="false">
      <c r="A111" s="0" t="s">
        <v>1692</v>
      </c>
      <c r="B111" s="0" t="s">
        <v>9</v>
      </c>
      <c r="C111" s="0" t="str">
        <f aca="false">"27-38"</f>
        <v>27-38</v>
      </c>
      <c r="D111" s="0" t="s">
        <v>9</v>
      </c>
      <c r="E111" s="0" t="str">
        <f aca="false">"91-102"</f>
        <v>91-102</v>
      </c>
      <c r="F111" s="0" t="s">
        <v>1769</v>
      </c>
      <c r="G111" s="0" t="s">
        <v>9</v>
      </c>
      <c r="H111" s="0" t="str">
        <f aca="false">"212-223"</f>
        <v>212-223</v>
      </c>
      <c r="I111" s="0" t="s">
        <v>9</v>
      </c>
      <c r="J111" s="0" t="str">
        <f aca="false">"191-202"</f>
        <v>191-202</v>
      </c>
      <c r="K111" s="0" t="str">
        <f aca="false">"0.80"</f>
        <v>0.80</v>
      </c>
      <c r="L111" s="0" t="str">
        <f aca="false">"11.09"</f>
        <v>11.09</v>
      </c>
      <c r="M111" s="0" t="str">
        <f aca="false">"-144.7"</f>
        <v>-144.7</v>
      </c>
    </row>
    <row r="112" customFormat="false" ht="12.8" hidden="false" customHeight="false" outlineLevel="0" collapsed="false">
      <c r="A112" s="0" t="s">
        <v>1692</v>
      </c>
      <c r="B112" s="0" t="s">
        <v>9</v>
      </c>
      <c r="C112" s="0" t="str">
        <f aca="false">"23-34"</f>
        <v>23-34</v>
      </c>
      <c r="D112" s="0" t="s">
        <v>9</v>
      </c>
      <c r="E112" s="0" t="str">
        <f aca="false">"95-106"</f>
        <v>95-106</v>
      </c>
      <c r="F112" s="0" t="s">
        <v>1770</v>
      </c>
      <c r="G112" s="0" t="s">
        <v>9</v>
      </c>
      <c r="H112" s="0" t="str">
        <f aca="false">"168-179"</f>
        <v>168-179</v>
      </c>
      <c r="I112" s="0" t="s">
        <v>9</v>
      </c>
      <c r="J112" s="0" t="str">
        <f aca="false">"261-272"</f>
        <v>261-272</v>
      </c>
      <c r="K112" s="0" t="str">
        <f aca="false">"0.95"</f>
        <v>0.95</v>
      </c>
      <c r="L112" s="0" t="str">
        <f aca="false">"11.08"</f>
        <v>11.08</v>
      </c>
      <c r="M112" s="0" t="str">
        <f aca="false">"-160.9"</f>
        <v>-160.9</v>
      </c>
    </row>
    <row r="113" customFormat="false" ht="12.8" hidden="false" customHeight="false" outlineLevel="0" collapsed="false">
      <c r="A113" s="0" t="s">
        <v>1692</v>
      </c>
      <c r="B113" s="0" t="s">
        <v>9</v>
      </c>
      <c r="C113" s="0" t="str">
        <f aca="false">"30-41"</f>
        <v>30-41</v>
      </c>
      <c r="D113" s="0" t="s">
        <v>9</v>
      </c>
      <c r="E113" s="0" t="str">
        <f aca="false">"88-99"</f>
        <v>88-99</v>
      </c>
      <c r="F113" s="0" t="s">
        <v>1771</v>
      </c>
      <c r="G113" s="0" t="s">
        <v>9</v>
      </c>
      <c r="H113" s="0" t="str">
        <f aca="false">"69-80"</f>
        <v>69-80</v>
      </c>
      <c r="I113" s="0" t="s">
        <v>9</v>
      </c>
      <c r="J113" s="0" t="str">
        <f aca="false">"48-59"</f>
        <v>48-59</v>
      </c>
      <c r="K113" s="0" t="str">
        <f aca="false">"0.82"</f>
        <v>0.82</v>
      </c>
      <c r="L113" s="0" t="str">
        <f aca="false">"11.18"</f>
        <v>11.18</v>
      </c>
      <c r="M113" s="0" t="str">
        <f aca="false">"-154.9"</f>
        <v>-154.9</v>
      </c>
    </row>
    <row r="114" customFormat="false" ht="12.8" hidden="false" customHeight="false" outlineLevel="0" collapsed="false">
      <c r="A114" s="0" t="s">
        <v>1692</v>
      </c>
      <c r="B114" s="0" t="s">
        <v>9</v>
      </c>
      <c r="C114" s="0" t="str">
        <f aca="false">"27-38"</f>
        <v>27-38</v>
      </c>
      <c r="D114" s="0" t="s">
        <v>9</v>
      </c>
      <c r="E114" s="0" t="str">
        <f aca="false">"91-102"</f>
        <v>91-102</v>
      </c>
      <c r="F114" s="0" t="s">
        <v>1772</v>
      </c>
      <c r="G114" s="0" t="s">
        <v>13</v>
      </c>
      <c r="H114" s="0" t="str">
        <f aca="false">"117-128"</f>
        <v>117-128</v>
      </c>
      <c r="I114" s="0" t="s">
        <v>13</v>
      </c>
      <c r="J114" s="0" t="str">
        <f aca="false">"186-197"</f>
        <v>186-197</v>
      </c>
      <c r="K114" s="0" t="str">
        <f aca="false">"0.79"</f>
        <v>0.79</v>
      </c>
      <c r="L114" s="0" t="str">
        <f aca="false">"11.70"</f>
        <v>11.70</v>
      </c>
      <c r="M114" s="0" t="str">
        <f aca="false">"-144.1"</f>
        <v>-144.1</v>
      </c>
    </row>
    <row r="115" customFormat="false" ht="12.8" hidden="false" customHeight="false" outlineLevel="0" collapsed="false">
      <c r="A115" s="0" t="s">
        <v>1692</v>
      </c>
      <c r="B115" s="0" t="s">
        <v>9</v>
      </c>
      <c r="C115" s="0" t="str">
        <f aca="false">"23-34"</f>
        <v>23-34</v>
      </c>
      <c r="D115" s="0" t="s">
        <v>9</v>
      </c>
      <c r="E115" s="0" t="str">
        <f aca="false">"95-106"</f>
        <v>95-106</v>
      </c>
      <c r="F115" s="0" t="s">
        <v>1773</v>
      </c>
      <c r="G115" s="0" t="s">
        <v>9</v>
      </c>
      <c r="H115" s="0" t="str">
        <f aca="false">"377-388"</f>
        <v>377-388</v>
      </c>
      <c r="I115" s="0" t="s">
        <v>9</v>
      </c>
      <c r="J115" s="0" t="str">
        <f aca="false">"392-403"</f>
        <v>392-403</v>
      </c>
      <c r="K115" s="0" t="str">
        <f aca="false">"0.95"</f>
        <v>0.95</v>
      </c>
      <c r="L115" s="0" t="str">
        <f aca="false">"11.19"</f>
        <v>11.19</v>
      </c>
      <c r="M115" s="0" t="str">
        <f aca="false">"-147.0"</f>
        <v>-147.0</v>
      </c>
    </row>
    <row r="116" customFormat="false" ht="12.8" hidden="false" customHeight="false" outlineLevel="0" collapsed="false">
      <c r="A116" s="0" t="s">
        <v>1692</v>
      </c>
      <c r="B116" s="0" t="s">
        <v>9</v>
      </c>
      <c r="C116" s="0" t="str">
        <f aca="false">"30-41"</f>
        <v>30-41</v>
      </c>
      <c r="D116" s="0" t="s">
        <v>9</v>
      </c>
      <c r="E116" s="0" t="str">
        <f aca="false">"91-102"</f>
        <v>91-102</v>
      </c>
      <c r="F116" s="0" t="s">
        <v>1774</v>
      </c>
      <c r="G116" s="0" t="s">
        <v>9</v>
      </c>
      <c r="H116" s="0" t="str">
        <f aca="false">"164-175"</f>
        <v>164-175</v>
      </c>
      <c r="I116" s="0" t="s">
        <v>9</v>
      </c>
      <c r="J116" s="0" t="str">
        <f aca="false">"125-136"</f>
        <v>125-136</v>
      </c>
      <c r="K116" s="0" t="str">
        <f aca="false">"1.20"</f>
        <v>1.20</v>
      </c>
      <c r="L116" s="0" t="str">
        <f aca="false">"11.54"</f>
        <v>11.54</v>
      </c>
      <c r="M116" s="0" t="str">
        <f aca="false">"-149.6"</f>
        <v>-149.6</v>
      </c>
    </row>
    <row r="117" customFormat="false" ht="12.8" hidden="false" customHeight="false" outlineLevel="0" collapsed="false">
      <c r="A117" s="0" t="s">
        <v>1692</v>
      </c>
      <c r="B117" s="0" t="s">
        <v>9</v>
      </c>
      <c r="C117" s="0" t="str">
        <f aca="false">"26-37"</f>
        <v>26-37</v>
      </c>
      <c r="D117" s="0" t="s">
        <v>9</v>
      </c>
      <c r="E117" s="0" t="str">
        <f aca="false">"91-102"</f>
        <v>91-102</v>
      </c>
      <c r="F117" s="0" t="s">
        <v>1775</v>
      </c>
      <c r="G117" s="0" t="s">
        <v>9</v>
      </c>
      <c r="H117" s="0" t="str">
        <f aca="false">"225-236"</f>
        <v>225-236</v>
      </c>
      <c r="I117" s="0" t="s">
        <v>9</v>
      </c>
      <c r="J117" s="0" t="str">
        <f aca="false">"184-195"</f>
        <v>184-195</v>
      </c>
      <c r="K117" s="0" t="str">
        <f aca="false">"0.88"</f>
        <v>0.88</v>
      </c>
      <c r="L117" s="0" t="str">
        <f aca="false">"10.70"</f>
        <v>10.70</v>
      </c>
      <c r="M117" s="0" t="str">
        <f aca="false">"-130.6"</f>
        <v>-130.6</v>
      </c>
    </row>
    <row r="118" customFormat="false" ht="12.8" hidden="false" customHeight="false" outlineLevel="0" collapsed="false">
      <c r="A118" s="0" t="s">
        <v>1692</v>
      </c>
      <c r="B118" s="0" t="s">
        <v>9</v>
      </c>
      <c r="C118" s="0" t="str">
        <f aca="false">"23-34"</f>
        <v>23-34</v>
      </c>
      <c r="D118" s="0" t="s">
        <v>9</v>
      </c>
      <c r="E118" s="0" t="str">
        <f aca="false">"95-106"</f>
        <v>95-106</v>
      </c>
      <c r="F118" s="0" t="s">
        <v>1776</v>
      </c>
      <c r="G118" s="0" t="s">
        <v>9</v>
      </c>
      <c r="H118" s="0" t="str">
        <f aca="false">"498-509"</f>
        <v>498-509</v>
      </c>
      <c r="I118" s="0" t="s">
        <v>9</v>
      </c>
      <c r="J118" s="0" t="str">
        <f aca="false">"438-449"</f>
        <v>438-449</v>
      </c>
      <c r="K118" s="0" t="str">
        <f aca="false">"1.18"</f>
        <v>1.18</v>
      </c>
      <c r="L118" s="0" t="str">
        <f aca="false">"11.23"</f>
        <v>11.23</v>
      </c>
      <c r="M118" s="0" t="str">
        <f aca="false">"-123.7"</f>
        <v>-123.7</v>
      </c>
    </row>
    <row r="119" customFormat="false" ht="12.8" hidden="false" customHeight="false" outlineLevel="0" collapsed="false">
      <c r="A119" s="0" t="s">
        <v>1692</v>
      </c>
      <c r="B119" s="0" t="s">
        <v>9</v>
      </c>
      <c r="C119" s="0" t="str">
        <f aca="false">"23-34"</f>
        <v>23-34</v>
      </c>
      <c r="D119" s="0" t="s">
        <v>9</v>
      </c>
      <c r="E119" s="0" t="str">
        <f aca="false">"95-106"</f>
        <v>95-106</v>
      </c>
      <c r="F119" s="0" t="s">
        <v>1777</v>
      </c>
      <c r="G119" s="0" t="s">
        <v>9</v>
      </c>
      <c r="H119" s="0" t="str">
        <f aca="false">"154-165"</f>
        <v>154-165</v>
      </c>
      <c r="I119" s="0" t="s">
        <v>9</v>
      </c>
      <c r="J119" s="0" t="str">
        <f aca="false">"94-105"</f>
        <v>94-105</v>
      </c>
      <c r="K119" s="0" t="str">
        <f aca="false">"1.15"</f>
        <v>1.15</v>
      </c>
      <c r="L119" s="0" t="str">
        <f aca="false">"10.27"</f>
        <v>10.27</v>
      </c>
      <c r="M119" s="0" t="str">
        <f aca="false">"-135.5"</f>
        <v>-135.5</v>
      </c>
    </row>
    <row r="120" customFormat="false" ht="12.8" hidden="false" customHeight="false" outlineLevel="0" collapsed="false">
      <c r="A120" s="0" t="s">
        <v>1692</v>
      </c>
      <c r="B120" s="0" t="s">
        <v>9</v>
      </c>
      <c r="C120" s="0" t="str">
        <f aca="false">"26-37"</f>
        <v>26-37</v>
      </c>
      <c r="D120" s="0" t="s">
        <v>9</v>
      </c>
      <c r="E120" s="0" t="str">
        <f aca="false">"91-102"</f>
        <v>91-102</v>
      </c>
      <c r="F120" s="0" t="s">
        <v>1778</v>
      </c>
      <c r="G120" s="0" t="s">
        <v>13</v>
      </c>
      <c r="H120" s="0" t="str">
        <f aca="false">"197-208"</f>
        <v>197-208</v>
      </c>
      <c r="I120" s="0" t="s">
        <v>13</v>
      </c>
      <c r="J120" s="0" t="str">
        <f aca="false">"73-84"</f>
        <v>73-84</v>
      </c>
      <c r="K120" s="0" t="str">
        <f aca="false">"0.95"</f>
        <v>0.95</v>
      </c>
      <c r="L120" s="0" t="str">
        <f aca="false">"10.77"</f>
        <v>10.77</v>
      </c>
      <c r="M120" s="0" t="str">
        <f aca="false">"-148.8"</f>
        <v>-148.8</v>
      </c>
    </row>
    <row r="121" customFormat="false" ht="12.8" hidden="false" customHeight="false" outlineLevel="0" collapsed="false">
      <c r="A121" s="0" t="s">
        <v>1692</v>
      </c>
      <c r="B121" s="0" t="s">
        <v>9</v>
      </c>
      <c r="C121" s="0" t="str">
        <f aca="false">"30-41"</f>
        <v>30-41</v>
      </c>
      <c r="D121" s="0" t="s">
        <v>9</v>
      </c>
      <c r="E121" s="0" t="str">
        <f aca="false">"88-99"</f>
        <v>88-99</v>
      </c>
      <c r="F121" s="0" t="s">
        <v>1779</v>
      </c>
      <c r="G121" s="0" t="s">
        <v>9</v>
      </c>
      <c r="H121" s="0" t="str">
        <f aca="false">"176-187"</f>
        <v>176-187</v>
      </c>
      <c r="I121" s="0" t="s">
        <v>9</v>
      </c>
      <c r="J121" s="0" t="str">
        <f aca="false">"12-23"</f>
        <v>12-23</v>
      </c>
      <c r="K121" s="0" t="str">
        <f aca="false">"1.18"</f>
        <v>1.18</v>
      </c>
      <c r="L121" s="0" t="str">
        <f aca="false">"10.88"</f>
        <v>10.88</v>
      </c>
      <c r="M121" s="0" t="str">
        <f aca="false">"-146.9"</f>
        <v>-146.9</v>
      </c>
    </row>
    <row r="122" customFormat="false" ht="12.8" hidden="false" customHeight="false" outlineLevel="0" collapsed="false">
      <c r="A122" s="0" t="s">
        <v>1692</v>
      </c>
      <c r="B122" s="0" t="s">
        <v>9</v>
      </c>
      <c r="C122" s="0" t="str">
        <f aca="false">"27-38"</f>
        <v>27-38</v>
      </c>
      <c r="D122" s="0" t="s">
        <v>9</v>
      </c>
      <c r="E122" s="0" t="str">
        <f aca="false">"91-102"</f>
        <v>91-102</v>
      </c>
      <c r="F122" s="0" t="s">
        <v>1780</v>
      </c>
      <c r="G122" s="0" t="s">
        <v>9</v>
      </c>
      <c r="H122" s="0" t="str">
        <f aca="false">"76-87"</f>
        <v>76-87</v>
      </c>
      <c r="I122" s="0" t="s">
        <v>9</v>
      </c>
      <c r="J122" s="0" t="str">
        <f aca="false">"102-113"</f>
        <v>102-113</v>
      </c>
      <c r="K122" s="0" t="str">
        <f aca="false">"1.03"</f>
        <v>1.03</v>
      </c>
      <c r="L122" s="0" t="str">
        <f aca="false">"10.15"</f>
        <v>10.15</v>
      </c>
      <c r="M122" s="0" t="str">
        <f aca="false">"-134.1"</f>
        <v>-134.1</v>
      </c>
    </row>
    <row r="123" customFormat="false" ht="12.8" hidden="false" customHeight="false" outlineLevel="0" collapsed="false">
      <c r="A123" s="0" t="s">
        <v>1692</v>
      </c>
      <c r="B123" s="0" t="s">
        <v>9</v>
      </c>
      <c r="C123" s="0" t="str">
        <f aca="false">"23-34"</f>
        <v>23-34</v>
      </c>
      <c r="D123" s="0" t="s">
        <v>9</v>
      </c>
      <c r="E123" s="0" t="str">
        <f aca="false">"95-106"</f>
        <v>95-106</v>
      </c>
      <c r="F123" s="0" t="s">
        <v>1781</v>
      </c>
      <c r="G123" s="0" t="s">
        <v>9</v>
      </c>
      <c r="H123" s="0" t="str">
        <f aca="false">"313-324"</f>
        <v>313-324</v>
      </c>
      <c r="I123" s="0" t="s">
        <v>9</v>
      </c>
      <c r="J123" s="0" t="str">
        <f aca="false">"168-179"</f>
        <v>168-179</v>
      </c>
      <c r="K123" s="0" t="str">
        <f aca="false">"1.04"</f>
        <v>1.04</v>
      </c>
      <c r="L123" s="0" t="str">
        <f aca="false">"11.32"</f>
        <v>11.32</v>
      </c>
      <c r="M123" s="0" t="str">
        <f aca="false">"-142.3"</f>
        <v>-142.3</v>
      </c>
    </row>
    <row r="124" customFormat="false" ht="12.8" hidden="false" customHeight="false" outlineLevel="0" collapsed="false">
      <c r="A124" s="0" t="s">
        <v>1692</v>
      </c>
      <c r="B124" s="0" t="s">
        <v>9</v>
      </c>
      <c r="C124" s="0" t="str">
        <f aca="false">"23-34"</f>
        <v>23-34</v>
      </c>
      <c r="D124" s="0" t="s">
        <v>9</v>
      </c>
      <c r="E124" s="0" t="str">
        <f aca="false">"95-106"</f>
        <v>95-106</v>
      </c>
      <c r="F124" s="0" t="s">
        <v>1782</v>
      </c>
      <c r="G124" s="0" t="s">
        <v>9</v>
      </c>
      <c r="H124" s="0" t="str">
        <f aca="false">"117-128"</f>
        <v>117-128</v>
      </c>
      <c r="I124" s="0" t="s">
        <v>9</v>
      </c>
      <c r="J124" s="0" t="str">
        <f aca="false">"79-90"</f>
        <v>79-90</v>
      </c>
      <c r="K124" s="0" t="str">
        <f aca="false">"1.03"</f>
        <v>1.03</v>
      </c>
      <c r="L124" s="0" t="str">
        <f aca="false">"10.80"</f>
        <v>10.80</v>
      </c>
      <c r="M124" s="0" t="str">
        <f aca="false">"-133.9"</f>
        <v>-133.9</v>
      </c>
    </row>
    <row r="125" customFormat="false" ht="12.8" hidden="false" customHeight="false" outlineLevel="0" collapsed="false">
      <c r="A125" s="0" t="s">
        <v>1692</v>
      </c>
      <c r="B125" s="0" t="s">
        <v>9</v>
      </c>
      <c r="C125" s="0" t="str">
        <f aca="false">"27-38"</f>
        <v>27-38</v>
      </c>
      <c r="D125" s="0" t="s">
        <v>9</v>
      </c>
      <c r="E125" s="0" t="str">
        <f aca="false">"91-102"</f>
        <v>91-102</v>
      </c>
      <c r="F125" s="0" t="s">
        <v>1783</v>
      </c>
      <c r="G125" s="0" t="s">
        <v>13</v>
      </c>
      <c r="H125" s="0" t="str">
        <f aca="false">"173-184"</f>
        <v>173-184</v>
      </c>
      <c r="I125" s="0" t="s">
        <v>13</v>
      </c>
      <c r="J125" s="0" t="str">
        <f aca="false">"89-100"</f>
        <v>89-100</v>
      </c>
      <c r="K125" s="0" t="str">
        <f aca="false">"0.90"</f>
        <v>0.90</v>
      </c>
      <c r="L125" s="0" t="str">
        <f aca="false">"11.10"</f>
        <v>11.10</v>
      </c>
      <c r="M125" s="0" t="str">
        <f aca="false">"-148.8"</f>
        <v>-148.8</v>
      </c>
    </row>
    <row r="126" customFormat="false" ht="12.8" hidden="false" customHeight="false" outlineLevel="0" collapsed="false">
      <c r="A126" s="0" t="s">
        <v>1692</v>
      </c>
      <c r="B126" s="0" t="s">
        <v>9</v>
      </c>
      <c r="C126" s="0" t="str">
        <f aca="false">"27-38"</f>
        <v>27-38</v>
      </c>
      <c r="D126" s="0" t="s">
        <v>9</v>
      </c>
      <c r="E126" s="0" t="str">
        <f aca="false">"91-102"</f>
        <v>91-102</v>
      </c>
      <c r="F126" s="0" t="s">
        <v>1784</v>
      </c>
      <c r="G126" s="0" t="s">
        <v>13</v>
      </c>
      <c r="H126" s="0" t="str">
        <f aca="false">"103-114"</f>
        <v>103-114</v>
      </c>
      <c r="I126" s="0" t="s">
        <v>13</v>
      </c>
      <c r="J126" s="0" t="str">
        <f aca="false">"77-88"</f>
        <v>77-88</v>
      </c>
      <c r="K126" s="0" t="str">
        <f aca="false">"0.99"</f>
        <v>0.99</v>
      </c>
      <c r="L126" s="0" t="str">
        <f aca="false">"11.19"</f>
        <v>11.19</v>
      </c>
      <c r="M126" s="0" t="str">
        <f aca="false">"-142.1"</f>
        <v>-142.1</v>
      </c>
    </row>
    <row r="127" customFormat="false" ht="12.8" hidden="false" customHeight="false" outlineLevel="0" collapsed="false">
      <c r="A127" s="0" t="s">
        <v>1692</v>
      </c>
      <c r="B127" s="0" t="s">
        <v>9</v>
      </c>
      <c r="C127" s="0" t="str">
        <f aca="false">"23-34"</f>
        <v>23-34</v>
      </c>
      <c r="D127" s="0" t="s">
        <v>9</v>
      </c>
      <c r="E127" s="0" t="str">
        <f aca="false">"95-106"</f>
        <v>95-106</v>
      </c>
      <c r="F127" s="0" t="s">
        <v>1785</v>
      </c>
      <c r="G127" s="0" t="s">
        <v>9</v>
      </c>
      <c r="H127" s="0" t="str">
        <f aca="false">"244-255"</f>
        <v>244-255</v>
      </c>
      <c r="I127" s="0" t="s">
        <v>9</v>
      </c>
      <c r="J127" s="0" t="str">
        <f aca="false">"219-230"</f>
        <v>219-230</v>
      </c>
      <c r="K127" s="0" t="str">
        <f aca="false">"1.11"</f>
        <v>1.11</v>
      </c>
      <c r="L127" s="0" t="str">
        <f aca="false">"10.45"</f>
        <v>10.45</v>
      </c>
      <c r="M127" s="0" t="str">
        <f aca="false">"-133.4"</f>
        <v>-133.4</v>
      </c>
    </row>
    <row r="128" customFormat="false" ht="12.8" hidden="false" customHeight="false" outlineLevel="0" collapsed="false">
      <c r="A128" s="0" t="s">
        <v>1692</v>
      </c>
      <c r="B128" s="0" t="s">
        <v>9</v>
      </c>
      <c r="C128" s="0" t="str">
        <f aca="false">"27-38"</f>
        <v>27-38</v>
      </c>
      <c r="D128" s="0" t="s">
        <v>9</v>
      </c>
      <c r="E128" s="0" t="str">
        <f aca="false">"90-101"</f>
        <v>90-101</v>
      </c>
      <c r="F128" s="0" t="s">
        <v>1786</v>
      </c>
      <c r="G128" s="0" t="s">
        <v>13</v>
      </c>
      <c r="H128" s="0" t="str">
        <f aca="false">"194-205"</f>
        <v>194-205</v>
      </c>
      <c r="I128" s="0" t="s">
        <v>13</v>
      </c>
      <c r="J128" s="0" t="str">
        <f aca="false">"242-253"</f>
        <v>242-253</v>
      </c>
      <c r="K128" s="0" t="str">
        <f aca="false">"0.90"</f>
        <v>0.90</v>
      </c>
      <c r="L128" s="0" t="str">
        <f aca="false">"10.89"</f>
        <v>10.89</v>
      </c>
      <c r="M128" s="0" t="str">
        <f aca="false">"-134.0"</f>
        <v>-134.0</v>
      </c>
    </row>
    <row r="129" customFormat="false" ht="12.8" hidden="false" customHeight="false" outlineLevel="0" collapsed="false">
      <c r="A129" s="0" t="s">
        <v>1692</v>
      </c>
      <c r="B129" s="0" t="s">
        <v>9</v>
      </c>
      <c r="C129" s="0" t="str">
        <f aca="false">"27-38"</f>
        <v>27-38</v>
      </c>
      <c r="D129" s="0" t="s">
        <v>9</v>
      </c>
      <c r="E129" s="0" t="str">
        <f aca="false">"91-102"</f>
        <v>91-102</v>
      </c>
      <c r="F129" s="0" t="s">
        <v>1787</v>
      </c>
      <c r="G129" s="0" t="s">
        <v>9</v>
      </c>
      <c r="H129" s="0" t="str">
        <f aca="false">"57-68"</f>
        <v>57-68</v>
      </c>
      <c r="I129" s="0" t="s">
        <v>9</v>
      </c>
      <c r="J129" s="0" t="str">
        <f aca="false">"13-24"</f>
        <v>13-24</v>
      </c>
      <c r="K129" s="0" t="str">
        <f aca="false">"1.21"</f>
        <v>1.21</v>
      </c>
      <c r="L129" s="0" t="str">
        <f aca="false">"11.05"</f>
        <v>11.05</v>
      </c>
      <c r="M129" s="0" t="str">
        <f aca="false">"-130.7"</f>
        <v>-130.7</v>
      </c>
    </row>
    <row r="130" customFormat="false" ht="12.8" hidden="false" customHeight="false" outlineLevel="0" collapsed="false">
      <c r="A130" s="0" t="s">
        <v>1692</v>
      </c>
      <c r="B130" s="0" t="s">
        <v>9</v>
      </c>
      <c r="C130" s="0" t="str">
        <f aca="false">"26-37"</f>
        <v>26-37</v>
      </c>
      <c r="D130" s="0" t="s">
        <v>9</v>
      </c>
      <c r="E130" s="0" t="str">
        <f aca="false">"92-103"</f>
        <v>92-103</v>
      </c>
      <c r="F130" s="0" t="s">
        <v>1788</v>
      </c>
      <c r="G130" s="0" t="s">
        <v>9</v>
      </c>
      <c r="H130" s="0" t="str">
        <f aca="false">"1192-1203"</f>
        <v>1192-1203</v>
      </c>
      <c r="I130" s="0" t="s">
        <v>9</v>
      </c>
      <c r="J130" s="0" t="str">
        <f aca="false">"1166-1177"</f>
        <v>1166-1177</v>
      </c>
      <c r="K130" s="0" t="str">
        <f aca="false">"1.18"</f>
        <v>1.18</v>
      </c>
      <c r="L130" s="0" t="str">
        <f aca="false">"10.24"</f>
        <v>10.24</v>
      </c>
      <c r="M130" s="0" t="str">
        <f aca="false">"-130.3"</f>
        <v>-130.3</v>
      </c>
    </row>
    <row r="131" customFormat="false" ht="12.8" hidden="false" customHeight="false" outlineLevel="0" collapsed="false">
      <c r="A131" s="0" t="s">
        <v>1692</v>
      </c>
      <c r="B131" s="0" t="s">
        <v>9</v>
      </c>
      <c r="C131" s="0" t="str">
        <f aca="false">"26-37"</f>
        <v>26-37</v>
      </c>
      <c r="D131" s="0" t="s">
        <v>9</v>
      </c>
      <c r="E131" s="0" t="str">
        <f aca="false">"91-102"</f>
        <v>91-102</v>
      </c>
      <c r="F131" s="0" t="s">
        <v>1789</v>
      </c>
      <c r="G131" s="0" t="s">
        <v>9</v>
      </c>
      <c r="H131" s="0" t="str">
        <f aca="false">"460-471"</f>
        <v>460-471</v>
      </c>
      <c r="I131" s="0" t="s">
        <v>9</v>
      </c>
      <c r="J131" s="0" t="str">
        <f aca="false">"426-437"</f>
        <v>426-437</v>
      </c>
      <c r="K131" s="0" t="str">
        <f aca="false">"0.91"</f>
        <v>0.91</v>
      </c>
      <c r="L131" s="0" t="str">
        <f aca="false">"11.64"</f>
        <v>11.64</v>
      </c>
      <c r="M131" s="0" t="str">
        <f aca="false">"-150.5"</f>
        <v>-150.5</v>
      </c>
    </row>
    <row r="132" customFormat="false" ht="12.8" hidden="false" customHeight="false" outlineLevel="0" collapsed="false">
      <c r="A132" s="0" t="s">
        <v>1692</v>
      </c>
      <c r="B132" s="0" t="s">
        <v>9</v>
      </c>
      <c r="C132" s="0" t="str">
        <f aca="false">"30-41"</f>
        <v>30-41</v>
      </c>
      <c r="D132" s="0" t="s">
        <v>9</v>
      </c>
      <c r="E132" s="0" t="str">
        <f aca="false">"88-99"</f>
        <v>88-99</v>
      </c>
      <c r="F132" s="0" t="s">
        <v>1790</v>
      </c>
      <c r="G132" s="0" t="s">
        <v>9</v>
      </c>
      <c r="H132" s="0" t="str">
        <f aca="false">"298-309"</f>
        <v>298-309</v>
      </c>
      <c r="I132" s="0" t="s">
        <v>9</v>
      </c>
      <c r="J132" s="0" t="str">
        <f aca="false">"249-260"</f>
        <v>249-260</v>
      </c>
      <c r="K132" s="0" t="str">
        <f aca="false">"1.17"</f>
        <v>1.17</v>
      </c>
      <c r="L132" s="0" t="str">
        <f aca="false">"11.35"</f>
        <v>11.35</v>
      </c>
      <c r="M132" s="0" t="str">
        <f aca="false">"-135.2"</f>
        <v>-135.2</v>
      </c>
    </row>
    <row r="133" customFormat="false" ht="12.8" hidden="false" customHeight="false" outlineLevel="0" collapsed="false">
      <c r="A133" s="0" t="s">
        <v>1692</v>
      </c>
      <c r="B133" s="0" t="s">
        <v>9</v>
      </c>
      <c r="C133" s="0" t="str">
        <f aca="false">"27-38"</f>
        <v>27-38</v>
      </c>
      <c r="D133" s="0" t="s">
        <v>9</v>
      </c>
      <c r="E133" s="0" t="str">
        <f aca="false">"91-102"</f>
        <v>91-102</v>
      </c>
      <c r="F133" s="0" t="s">
        <v>1791</v>
      </c>
      <c r="G133" s="0" t="s">
        <v>13</v>
      </c>
      <c r="H133" s="0" t="str">
        <f aca="false">"255-266"</f>
        <v>255-266</v>
      </c>
      <c r="I133" s="0" t="s">
        <v>13</v>
      </c>
      <c r="J133" s="0" t="str">
        <f aca="false">"232-243"</f>
        <v>232-243</v>
      </c>
      <c r="K133" s="0" t="str">
        <f aca="false">"1.07"</f>
        <v>1.07</v>
      </c>
      <c r="L133" s="0" t="str">
        <f aca="false">"11.89"</f>
        <v>11.89</v>
      </c>
      <c r="M133" s="0" t="str">
        <f aca="false">"-138.1"</f>
        <v>-138.1</v>
      </c>
    </row>
    <row r="134" customFormat="false" ht="12.8" hidden="false" customHeight="false" outlineLevel="0" collapsed="false">
      <c r="A134" s="0" t="s">
        <v>1692</v>
      </c>
      <c r="B134" s="0" t="s">
        <v>9</v>
      </c>
      <c r="C134" s="0" t="str">
        <f aca="false">"26-37"</f>
        <v>26-37</v>
      </c>
      <c r="D134" s="0" t="s">
        <v>9</v>
      </c>
      <c r="E134" s="0" t="str">
        <f aca="false">"91-102"</f>
        <v>91-102</v>
      </c>
      <c r="F134" s="0" t="s">
        <v>1792</v>
      </c>
      <c r="G134" s="0" t="s">
        <v>9</v>
      </c>
      <c r="H134" s="0" t="str">
        <f aca="false">"59-70"</f>
        <v>59-70</v>
      </c>
      <c r="I134" s="0" t="s">
        <v>9</v>
      </c>
      <c r="J134" s="0" t="str">
        <f aca="false">"96-107"</f>
        <v>96-107</v>
      </c>
      <c r="K134" s="0" t="str">
        <f aca="false">"0.67"</f>
        <v>0.67</v>
      </c>
      <c r="L134" s="0" t="str">
        <f aca="false">"12.39"</f>
        <v>12.39</v>
      </c>
      <c r="M134" s="0" t="str">
        <f aca="false">"-139.6"</f>
        <v>-139.6</v>
      </c>
    </row>
    <row r="135" customFormat="false" ht="12.8" hidden="false" customHeight="false" outlineLevel="0" collapsed="false">
      <c r="A135" s="0" t="s">
        <v>1692</v>
      </c>
      <c r="B135" s="0" t="s">
        <v>9</v>
      </c>
      <c r="C135" s="0" t="str">
        <f aca="false">"27-38"</f>
        <v>27-38</v>
      </c>
      <c r="D135" s="0" t="s">
        <v>9</v>
      </c>
      <c r="E135" s="0" t="str">
        <f aca="false">"91-102"</f>
        <v>91-102</v>
      </c>
      <c r="F135" s="0" t="s">
        <v>1793</v>
      </c>
      <c r="G135" s="0" t="s">
        <v>120</v>
      </c>
      <c r="H135" s="0" t="str">
        <f aca="false">"494-505"</f>
        <v>494-505</v>
      </c>
      <c r="I135" s="0" t="s">
        <v>120</v>
      </c>
      <c r="J135" s="0" t="str">
        <f aca="false">"475-486"</f>
        <v>475-486</v>
      </c>
      <c r="K135" s="0" t="str">
        <f aca="false">"1.23"</f>
        <v>1.23</v>
      </c>
      <c r="L135" s="0" t="str">
        <f aca="false">"12.43"</f>
        <v>12.43</v>
      </c>
      <c r="M135" s="0" t="str">
        <f aca="false">"-141.7"</f>
        <v>-141.7</v>
      </c>
    </row>
    <row r="136" customFormat="false" ht="12.8" hidden="false" customHeight="false" outlineLevel="0" collapsed="false">
      <c r="A136" s="0" t="s">
        <v>1692</v>
      </c>
      <c r="B136" s="0" t="s">
        <v>9</v>
      </c>
      <c r="C136" s="0" t="str">
        <f aca="false">"27-38"</f>
        <v>27-38</v>
      </c>
      <c r="D136" s="0" t="s">
        <v>9</v>
      </c>
      <c r="E136" s="0" t="str">
        <f aca="false">"91-102"</f>
        <v>91-102</v>
      </c>
      <c r="F136" s="0" t="s">
        <v>1794</v>
      </c>
      <c r="G136" s="0" t="s">
        <v>9</v>
      </c>
      <c r="H136" s="0" t="str">
        <f aca="false">"220-231"</f>
        <v>220-231</v>
      </c>
      <c r="I136" s="0" t="s">
        <v>9</v>
      </c>
      <c r="J136" s="0" t="str">
        <f aca="false">"200-211"</f>
        <v>200-211</v>
      </c>
      <c r="K136" s="0" t="str">
        <f aca="false">"1.09"</f>
        <v>1.09</v>
      </c>
      <c r="L136" s="0" t="str">
        <f aca="false">"9.89"</f>
        <v>9.89</v>
      </c>
      <c r="M136" s="0" t="str">
        <f aca="false">"-157.1"</f>
        <v>-157.1</v>
      </c>
    </row>
    <row r="137" customFormat="false" ht="12.8" hidden="false" customHeight="false" outlineLevel="0" collapsed="false">
      <c r="A137" s="0" t="s">
        <v>1692</v>
      </c>
      <c r="B137" s="0" t="s">
        <v>9</v>
      </c>
      <c r="C137" s="0" t="str">
        <f aca="false">"27-38"</f>
        <v>27-38</v>
      </c>
      <c r="D137" s="0" t="s">
        <v>9</v>
      </c>
      <c r="E137" s="0" t="str">
        <f aca="false">"91-102"</f>
        <v>91-102</v>
      </c>
      <c r="F137" s="0" t="s">
        <v>1795</v>
      </c>
      <c r="G137" s="0" t="s">
        <v>9</v>
      </c>
      <c r="H137" s="0" t="str">
        <f aca="false">"124-135"</f>
        <v>124-135</v>
      </c>
      <c r="I137" s="0" t="s">
        <v>9</v>
      </c>
      <c r="J137" s="0" t="str">
        <f aca="false">"101-112"</f>
        <v>101-112</v>
      </c>
      <c r="K137" s="0" t="str">
        <f aca="false">"1.16"</f>
        <v>1.16</v>
      </c>
      <c r="L137" s="0" t="str">
        <f aca="false">"11.88"</f>
        <v>11.88</v>
      </c>
      <c r="M137" s="0" t="str">
        <f aca="false">"-150.5"</f>
        <v>-150.5</v>
      </c>
    </row>
    <row r="138" customFormat="false" ht="12.8" hidden="false" customHeight="false" outlineLevel="0" collapsed="false">
      <c r="A138" s="0" t="s">
        <v>1692</v>
      </c>
      <c r="B138" s="0" t="s">
        <v>9</v>
      </c>
      <c r="C138" s="0" t="str">
        <f aca="false">"27-38"</f>
        <v>27-38</v>
      </c>
      <c r="D138" s="0" t="s">
        <v>9</v>
      </c>
      <c r="E138" s="0" t="str">
        <f aca="false">"91-102"</f>
        <v>91-102</v>
      </c>
      <c r="F138" s="0" t="s">
        <v>1796</v>
      </c>
      <c r="G138" s="0" t="s">
        <v>9</v>
      </c>
      <c r="H138" s="0" t="str">
        <f aca="false">"14-25"</f>
        <v>14-25</v>
      </c>
      <c r="I138" s="0" t="s">
        <v>9</v>
      </c>
      <c r="J138" s="0" t="str">
        <f aca="false">"95-106"</f>
        <v>95-106</v>
      </c>
      <c r="K138" s="0" t="str">
        <f aca="false">"1.11"</f>
        <v>1.11</v>
      </c>
      <c r="L138" s="0" t="str">
        <f aca="false">"11.16"</f>
        <v>11.16</v>
      </c>
      <c r="M138" s="0" t="str">
        <f aca="false">"-152.3"</f>
        <v>-152.3</v>
      </c>
    </row>
    <row r="139" customFormat="false" ht="12.8" hidden="false" customHeight="false" outlineLevel="0" collapsed="false">
      <c r="A139" s="0" t="s">
        <v>1692</v>
      </c>
      <c r="B139" s="0" t="s">
        <v>9</v>
      </c>
      <c r="C139" s="0" t="str">
        <f aca="false">"23-34"</f>
        <v>23-34</v>
      </c>
      <c r="D139" s="0" t="s">
        <v>9</v>
      </c>
      <c r="E139" s="0" t="str">
        <f aca="false">"95-106"</f>
        <v>95-106</v>
      </c>
      <c r="F139" s="0" t="s">
        <v>1797</v>
      </c>
      <c r="G139" s="0" t="s">
        <v>9</v>
      </c>
      <c r="H139" s="0" t="str">
        <f aca="false">"325-336"</f>
        <v>325-336</v>
      </c>
      <c r="I139" s="0" t="s">
        <v>9</v>
      </c>
      <c r="J139" s="0" t="str">
        <f aca="false">"363-374"</f>
        <v>363-374</v>
      </c>
      <c r="K139" s="0" t="str">
        <f aca="false">"1.21"</f>
        <v>1.21</v>
      </c>
      <c r="L139" s="0" t="str">
        <f aca="false">"11.45"</f>
        <v>11.45</v>
      </c>
      <c r="M139" s="0" t="str">
        <f aca="false">"-133.5"</f>
        <v>-133.5</v>
      </c>
    </row>
    <row r="140" customFormat="false" ht="12.8" hidden="false" customHeight="false" outlineLevel="0" collapsed="false">
      <c r="A140" s="0" t="s">
        <v>1692</v>
      </c>
      <c r="B140" s="0" t="s">
        <v>9</v>
      </c>
      <c r="C140" s="0" t="str">
        <f aca="false">"26-37"</f>
        <v>26-37</v>
      </c>
      <c r="D140" s="0" t="s">
        <v>9</v>
      </c>
      <c r="E140" s="0" t="str">
        <f aca="false">"92-103"</f>
        <v>92-103</v>
      </c>
      <c r="F140" s="0" t="s">
        <v>1798</v>
      </c>
      <c r="G140" s="0" t="s">
        <v>9</v>
      </c>
      <c r="H140" s="0" t="str">
        <f aca="false">"514-525"</f>
        <v>514-525</v>
      </c>
      <c r="I140" s="0" t="s">
        <v>9</v>
      </c>
      <c r="J140" s="0" t="str">
        <f aca="false">"469-480"</f>
        <v>469-480</v>
      </c>
      <c r="K140" s="0" t="str">
        <f aca="false">"1.19"</f>
        <v>1.19</v>
      </c>
      <c r="L140" s="0" t="str">
        <f aca="false">"12.56"</f>
        <v>12.56</v>
      </c>
      <c r="M140" s="0" t="str">
        <f aca="false">"-137.4"</f>
        <v>-137.4</v>
      </c>
    </row>
    <row r="141" customFormat="false" ht="12.8" hidden="false" customHeight="false" outlineLevel="0" collapsed="false">
      <c r="A141" s="0" t="s">
        <v>1692</v>
      </c>
      <c r="B141" s="0" t="s">
        <v>9</v>
      </c>
      <c r="C141" s="0" t="str">
        <f aca="false">"28-39"</f>
        <v>28-39</v>
      </c>
      <c r="D141" s="0" t="s">
        <v>9</v>
      </c>
      <c r="E141" s="0" t="str">
        <f aca="false">"92-103"</f>
        <v>92-103</v>
      </c>
      <c r="F141" s="0" t="s">
        <v>1799</v>
      </c>
      <c r="G141" s="0" t="s">
        <v>13</v>
      </c>
      <c r="H141" s="0" t="str">
        <f aca="false">"80-91"</f>
        <v>80-91</v>
      </c>
      <c r="I141" s="0" t="s">
        <v>13</v>
      </c>
      <c r="J141" s="0" t="str">
        <f aca="false">"19-30"</f>
        <v>19-30</v>
      </c>
      <c r="K141" s="0" t="str">
        <f aca="false">"1.16"</f>
        <v>1.16</v>
      </c>
      <c r="L141" s="0" t="str">
        <f aca="false">"10.52"</f>
        <v>10.52</v>
      </c>
      <c r="M141" s="0" t="str">
        <f aca="false">"-127.8"</f>
        <v>-127.8</v>
      </c>
    </row>
    <row r="142" customFormat="false" ht="12.8" hidden="false" customHeight="false" outlineLevel="0" collapsed="false">
      <c r="A142" s="0" t="s">
        <v>1692</v>
      </c>
      <c r="B142" s="0" t="s">
        <v>9</v>
      </c>
      <c r="C142" s="0" t="str">
        <f aca="false">"26-37"</f>
        <v>26-37</v>
      </c>
      <c r="D142" s="0" t="s">
        <v>9</v>
      </c>
      <c r="E142" s="0" t="str">
        <f aca="false">"92-103"</f>
        <v>92-103</v>
      </c>
      <c r="F142" s="0" t="s">
        <v>1800</v>
      </c>
      <c r="G142" s="0" t="s">
        <v>13</v>
      </c>
      <c r="H142" s="0" t="str">
        <f aca="false">"147-158"</f>
        <v>147-158</v>
      </c>
      <c r="I142" s="0" t="s">
        <v>9</v>
      </c>
      <c r="J142" s="0" t="str">
        <f aca="false">"146-157"</f>
        <v>146-157</v>
      </c>
      <c r="K142" s="0" t="str">
        <f aca="false">"1.02"</f>
        <v>1.02</v>
      </c>
      <c r="L142" s="0" t="str">
        <f aca="false">"11.49"</f>
        <v>11.49</v>
      </c>
      <c r="M142" s="0" t="str">
        <f aca="false">"-140.9"</f>
        <v>-140.9</v>
      </c>
    </row>
    <row r="143" customFormat="false" ht="12.8" hidden="false" customHeight="false" outlineLevel="0" collapsed="false">
      <c r="A143" s="0" t="s">
        <v>1692</v>
      </c>
      <c r="B143" s="0" t="s">
        <v>9</v>
      </c>
      <c r="C143" s="0" t="str">
        <f aca="false">"26-37"</f>
        <v>26-37</v>
      </c>
      <c r="D143" s="0" t="s">
        <v>9</v>
      </c>
      <c r="E143" s="0" t="str">
        <f aca="false">"94-105"</f>
        <v>94-105</v>
      </c>
      <c r="F143" s="0" t="s">
        <v>1801</v>
      </c>
      <c r="G143" s="0" t="s">
        <v>13</v>
      </c>
      <c r="H143" s="0" t="str">
        <f aca="false">"59-70"</f>
        <v>59-70</v>
      </c>
      <c r="I143" s="0" t="s">
        <v>13</v>
      </c>
      <c r="J143" s="0" t="str">
        <f aca="false">"106-117"</f>
        <v>106-117</v>
      </c>
      <c r="K143" s="0" t="str">
        <f aca="false">"1.23"</f>
        <v>1.23</v>
      </c>
      <c r="L143" s="0" t="str">
        <f aca="false">"11.57"</f>
        <v>11.57</v>
      </c>
      <c r="M143" s="0" t="str">
        <f aca="false">"-134.3"</f>
        <v>-134.3</v>
      </c>
    </row>
    <row r="144" customFormat="false" ht="12.8" hidden="false" customHeight="false" outlineLevel="0" collapsed="false">
      <c r="A144" s="0" t="s">
        <v>1692</v>
      </c>
      <c r="B144" s="0" t="s">
        <v>9</v>
      </c>
      <c r="C144" s="0" t="str">
        <f aca="false">"27-38"</f>
        <v>27-38</v>
      </c>
      <c r="D144" s="0" t="s">
        <v>9</v>
      </c>
      <c r="E144" s="0" t="str">
        <f aca="false">"90-101"</f>
        <v>90-101</v>
      </c>
      <c r="F144" s="0" t="s">
        <v>1802</v>
      </c>
      <c r="G144" s="0" t="s">
        <v>9</v>
      </c>
      <c r="H144" s="0" t="str">
        <f aca="false">"611-622"</f>
        <v>611-622</v>
      </c>
      <c r="I144" s="0" t="s">
        <v>9</v>
      </c>
      <c r="J144" s="0" t="str">
        <f aca="false">"576-587"</f>
        <v>576-587</v>
      </c>
      <c r="K144" s="0" t="str">
        <f aca="false">"0.76"</f>
        <v>0.76</v>
      </c>
      <c r="L144" s="0" t="str">
        <f aca="false">"11.58"</f>
        <v>11.58</v>
      </c>
      <c r="M144" s="0" t="str">
        <f aca="false">"-133.2"</f>
        <v>-133.2</v>
      </c>
    </row>
    <row r="145" customFormat="false" ht="12.8" hidden="false" customHeight="false" outlineLevel="0" collapsed="false">
      <c r="A145" s="0" t="s">
        <v>1692</v>
      </c>
      <c r="B145" s="0" t="s">
        <v>9</v>
      </c>
      <c r="C145" s="0" t="str">
        <f aca="false">"27-38"</f>
        <v>27-38</v>
      </c>
      <c r="D145" s="0" t="s">
        <v>9</v>
      </c>
      <c r="E145" s="0" t="str">
        <f aca="false">"92-103"</f>
        <v>92-103</v>
      </c>
      <c r="F145" s="0" t="s">
        <v>1803</v>
      </c>
      <c r="G145" s="0" t="s">
        <v>9</v>
      </c>
      <c r="H145" s="0" t="str">
        <f aca="false">"110-121"</f>
        <v>110-121</v>
      </c>
      <c r="I145" s="0" t="s">
        <v>9</v>
      </c>
      <c r="J145" s="0" t="str">
        <f aca="false">"154-165"</f>
        <v>154-165</v>
      </c>
      <c r="K145" s="0" t="str">
        <f aca="false">"1.11"</f>
        <v>1.11</v>
      </c>
      <c r="L145" s="0" t="str">
        <f aca="false">"12.25"</f>
        <v>12.25</v>
      </c>
      <c r="M145" s="0" t="str">
        <f aca="false">"-140.8"</f>
        <v>-140.8</v>
      </c>
    </row>
    <row r="146" customFormat="false" ht="12.8" hidden="false" customHeight="false" outlineLevel="0" collapsed="false">
      <c r="A146" s="0" t="s">
        <v>1692</v>
      </c>
      <c r="B146" s="0" t="s">
        <v>9</v>
      </c>
      <c r="C146" s="0" t="str">
        <f aca="false">"27-38"</f>
        <v>27-38</v>
      </c>
      <c r="D146" s="0" t="s">
        <v>9</v>
      </c>
      <c r="E146" s="0" t="str">
        <f aca="false">"91-102"</f>
        <v>91-102</v>
      </c>
      <c r="F146" s="0" t="s">
        <v>1804</v>
      </c>
      <c r="G146" s="0" t="s">
        <v>9</v>
      </c>
      <c r="H146" s="0" t="str">
        <f aca="false">"93-104"</f>
        <v>93-104</v>
      </c>
      <c r="I146" s="0" t="s">
        <v>9</v>
      </c>
      <c r="J146" s="0" t="str">
        <f aca="false">"145-156"</f>
        <v>145-156</v>
      </c>
      <c r="K146" s="0" t="str">
        <f aca="false">"1.10"</f>
        <v>1.10</v>
      </c>
      <c r="L146" s="0" t="str">
        <f aca="false">"12.59"</f>
        <v>12.59</v>
      </c>
      <c r="M146" s="0" t="str">
        <f aca="false">"-136.3"</f>
        <v>-136.3</v>
      </c>
    </row>
    <row r="147" customFormat="false" ht="12.8" hidden="false" customHeight="false" outlineLevel="0" collapsed="false">
      <c r="A147" s="0" t="s">
        <v>1692</v>
      </c>
      <c r="B147" s="0" t="s">
        <v>9</v>
      </c>
      <c r="C147" s="0" t="str">
        <f aca="false">"27-38"</f>
        <v>27-38</v>
      </c>
      <c r="D147" s="0" t="s">
        <v>9</v>
      </c>
      <c r="E147" s="0" t="str">
        <f aca="false">"91-102"</f>
        <v>91-102</v>
      </c>
      <c r="F147" s="0" t="s">
        <v>1805</v>
      </c>
      <c r="G147" s="0" t="s">
        <v>9</v>
      </c>
      <c r="H147" s="0" t="str">
        <f aca="false">"135-146"</f>
        <v>135-146</v>
      </c>
      <c r="I147" s="0" t="s">
        <v>9</v>
      </c>
      <c r="J147" s="0" t="str">
        <f aca="false">"39-50"</f>
        <v>39-50</v>
      </c>
      <c r="K147" s="0" t="str">
        <f aca="false">"1.20"</f>
        <v>1.20</v>
      </c>
      <c r="L147" s="0" t="str">
        <f aca="false">"10.64"</f>
        <v>10.64</v>
      </c>
      <c r="M147" s="0" t="str">
        <f aca="false">"-136.9"</f>
        <v>-136.9</v>
      </c>
    </row>
    <row r="148" customFormat="false" ht="12.8" hidden="false" customHeight="false" outlineLevel="0" collapsed="false">
      <c r="A148" s="0" t="s">
        <v>1692</v>
      </c>
      <c r="B148" s="0" t="s">
        <v>9</v>
      </c>
      <c r="C148" s="0" t="str">
        <f aca="false">"30-41"</f>
        <v>30-41</v>
      </c>
      <c r="D148" s="0" t="s">
        <v>9</v>
      </c>
      <c r="E148" s="0" t="str">
        <f aca="false">"87-98"</f>
        <v>87-98</v>
      </c>
      <c r="F148" s="0" t="s">
        <v>1806</v>
      </c>
      <c r="G148" s="0" t="s">
        <v>9</v>
      </c>
      <c r="H148" s="0" t="str">
        <f aca="false">"131-142"</f>
        <v>131-142</v>
      </c>
      <c r="I148" s="0" t="s">
        <v>9</v>
      </c>
      <c r="J148" s="0" t="str">
        <f aca="false">"55-66"</f>
        <v>55-66</v>
      </c>
      <c r="K148" s="0" t="str">
        <f aca="false">"1.06"</f>
        <v>1.06</v>
      </c>
      <c r="L148" s="0" t="str">
        <f aca="false">"10.65"</f>
        <v>10.65</v>
      </c>
      <c r="M148" s="0" t="str">
        <f aca="false">"-158.8"</f>
        <v>-158.8</v>
      </c>
    </row>
    <row r="149" customFormat="false" ht="12.8" hidden="false" customHeight="false" outlineLevel="0" collapsed="false">
      <c r="A149" s="0" t="s">
        <v>1692</v>
      </c>
      <c r="B149" s="0" t="s">
        <v>9</v>
      </c>
      <c r="C149" s="0" t="str">
        <f aca="false">"27-38"</f>
        <v>27-38</v>
      </c>
      <c r="D149" s="0" t="s">
        <v>9</v>
      </c>
      <c r="E149" s="0" t="str">
        <f aca="false">"91-102"</f>
        <v>91-102</v>
      </c>
      <c r="F149" s="0" t="s">
        <v>1807</v>
      </c>
      <c r="G149" s="0" t="s">
        <v>120</v>
      </c>
      <c r="H149" s="0" t="str">
        <f aca="false">"662-673"</f>
        <v>662-673</v>
      </c>
      <c r="I149" s="0" t="s">
        <v>120</v>
      </c>
      <c r="J149" s="0" t="str">
        <f aca="false">"635-646"</f>
        <v>635-646</v>
      </c>
      <c r="K149" s="0" t="str">
        <f aca="false">"1.21"</f>
        <v>1.21</v>
      </c>
      <c r="L149" s="0" t="str">
        <f aca="false">"11.41"</f>
        <v>11.41</v>
      </c>
      <c r="M149" s="0" t="str">
        <f aca="false">"-148.7"</f>
        <v>-148.7</v>
      </c>
    </row>
    <row r="150" customFormat="false" ht="12.8" hidden="false" customHeight="false" outlineLevel="0" collapsed="false">
      <c r="A150" s="0" t="s">
        <v>1692</v>
      </c>
      <c r="B150" s="0" t="s">
        <v>9</v>
      </c>
      <c r="C150" s="0" t="str">
        <f aca="false">"27-38"</f>
        <v>27-38</v>
      </c>
      <c r="D150" s="0" t="s">
        <v>9</v>
      </c>
      <c r="E150" s="0" t="str">
        <f aca="false">"91-102"</f>
        <v>91-102</v>
      </c>
      <c r="F150" s="0" t="s">
        <v>1808</v>
      </c>
      <c r="G150" s="0" t="s">
        <v>9</v>
      </c>
      <c r="H150" s="0" t="str">
        <f aca="false">"118-129"</f>
        <v>118-129</v>
      </c>
      <c r="I150" s="0" t="s">
        <v>9</v>
      </c>
      <c r="J150" s="0" t="str">
        <f aca="false">"7-18"</f>
        <v>7-18</v>
      </c>
      <c r="K150" s="0" t="str">
        <f aca="false">"1.10"</f>
        <v>1.10</v>
      </c>
      <c r="L150" s="0" t="str">
        <f aca="false">"11.31"</f>
        <v>11.31</v>
      </c>
      <c r="M150" s="0" t="str">
        <f aca="false">"-146.4"</f>
        <v>-146.4</v>
      </c>
    </row>
    <row r="151" customFormat="false" ht="12.8" hidden="false" customHeight="false" outlineLevel="0" collapsed="false">
      <c r="A151" s="0" t="s">
        <v>1692</v>
      </c>
      <c r="B151" s="0" t="s">
        <v>9</v>
      </c>
      <c r="C151" s="0" t="str">
        <f aca="false">"30-41"</f>
        <v>30-41</v>
      </c>
      <c r="D151" s="0" t="s">
        <v>9</v>
      </c>
      <c r="E151" s="0" t="str">
        <f aca="false">"90-101"</f>
        <v>90-101</v>
      </c>
      <c r="F151" s="0" t="s">
        <v>1809</v>
      </c>
      <c r="G151" s="0" t="s">
        <v>9</v>
      </c>
      <c r="H151" s="0" t="str">
        <f aca="false">"176-187"</f>
        <v>176-187</v>
      </c>
      <c r="I151" s="0" t="s">
        <v>9</v>
      </c>
      <c r="J151" s="0" t="str">
        <f aca="false">"122-133"</f>
        <v>122-133</v>
      </c>
      <c r="K151" s="0" t="str">
        <f aca="false">"1.20"</f>
        <v>1.20</v>
      </c>
      <c r="L151" s="0" t="str">
        <f aca="false">"11.29"</f>
        <v>11.29</v>
      </c>
      <c r="M151" s="0" t="str">
        <f aca="false">"-156.8"</f>
        <v>-156.8</v>
      </c>
    </row>
    <row r="152" customFormat="false" ht="12.8" hidden="false" customHeight="false" outlineLevel="0" collapsed="false">
      <c r="A152" s="0" t="s">
        <v>1692</v>
      </c>
      <c r="B152" s="0" t="s">
        <v>9</v>
      </c>
      <c r="C152" s="0" t="str">
        <f aca="false">"27-38"</f>
        <v>27-38</v>
      </c>
      <c r="D152" s="0" t="s">
        <v>9</v>
      </c>
      <c r="E152" s="0" t="str">
        <f aca="false">"92-103"</f>
        <v>92-103</v>
      </c>
      <c r="F152" s="0" t="s">
        <v>1810</v>
      </c>
      <c r="G152" s="0" t="s">
        <v>1811</v>
      </c>
      <c r="H152" s="0" t="str">
        <f aca="false">"65-76"</f>
        <v>65-76</v>
      </c>
      <c r="I152" s="0" t="s">
        <v>1811</v>
      </c>
      <c r="J152" s="0" t="str">
        <f aca="false">"34-45"</f>
        <v>34-45</v>
      </c>
      <c r="K152" s="0" t="str">
        <f aca="false">"1.14"</f>
        <v>1.14</v>
      </c>
      <c r="L152" s="0" t="str">
        <f aca="false">"9.48"</f>
        <v>9.48</v>
      </c>
      <c r="M152" s="0" t="str">
        <f aca="false">"-151.1"</f>
        <v>-151.1</v>
      </c>
    </row>
    <row r="153" customFormat="false" ht="12.8" hidden="false" customHeight="false" outlineLevel="0" collapsed="false">
      <c r="A153" s="0" t="s">
        <v>1692</v>
      </c>
      <c r="B153" s="0" t="s">
        <v>9</v>
      </c>
      <c r="C153" s="0" t="str">
        <f aca="false">"27-38"</f>
        <v>27-38</v>
      </c>
      <c r="D153" s="0" t="s">
        <v>9</v>
      </c>
      <c r="E153" s="0" t="str">
        <f aca="false">"92-103"</f>
        <v>92-103</v>
      </c>
      <c r="F153" s="0" t="s">
        <v>1812</v>
      </c>
      <c r="G153" s="0" t="s">
        <v>827</v>
      </c>
      <c r="H153" s="0" t="str">
        <f aca="false">"65-76"</f>
        <v>65-76</v>
      </c>
      <c r="I153" s="0" t="s">
        <v>827</v>
      </c>
      <c r="J153" s="0" t="str">
        <f aca="false">"34-45"</f>
        <v>34-45</v>
      </c>
      <c r="K153" s="0" t="str">
        <f aca="false">"1.14"</f>
        <v>1.14</v>
      </c>
      <c r="L153" s="0" t="str">
        <f aca="false">"9.48"</f>
        <v>9.48</v>
      </c>
      <c r="M153" s="0" t="str">
        <f aca="false">"-151.1"</f>
        <v>-151.1</v>
      </c>
    </row>
    <row r="154" customFormat="false" ht="12.8" hidden="false" customHeight="false" outlineLevel="0" collapsed="false">
      <c r="A154" s="0" t="s">
        <v>1692</v>
      </c>
      <c r="B154" s="0" t="s">
        <v>9</v>
      </c>
      <c r="C154" s="0" t="str">
        <f aca="false">"27-38"</f>
        <v>27-38</v>
      </c>
      <c r="D154" s="0" t="s">
        <v>9</v>
      </c>
      <c r="E154" s="0" t="str">
        <f aca="false">"91-102"</f>
        <v>91-102</v>
      </c>
      <c r="F154" s="0" t="s">
        <v>1813</v>
      </c>
      <c r="G154" s="0" t="s">
        <v>13</v>
      </c>
      <c r="H154" s="0" t="str">
        <f aca="false">"134-145"</f>
        <v>134-145</v>
      </c>
      <c r="I154" s="0" t="s">
        <v>9</v>
      </c>
      <c r="J154" s="0" t="str">
        <f aca="false">"70-81"</f>
        <v>70-81</v>
      </c>
      <c r="K154" s="0" t="str">
        <f aca="false">"1.01"</f>
        <v>1.01</v>
      </c>
      <c r="L154" s="0" t="str">
        <f aca="false">"11.65"</f>
        <v>11.65</v>
      </c>
      <c r="M154" s="0" t="str">
        <f aca="false">"-151.9"</f>
        <v>-151.9</v>
      </c>
    </row>
    <row r="155" customFormat="false" ht="12.8" hidden="false" customHeight="false" outlineLevel="0" collapsed="false">
      <c r="A155" s="0" t="s">
        <v>1692</v>
      </c>
      <c r="B155" s="0" t="s">
        <v>9</v>
      </c>
      <c r="C155" s="0" t="str">
        <f aca="false">"30-41"</f>
        <v>30-41</v>
      </c>
      <c r="D155" s="0" t="s">
        <v>9</v>
      </c>
      <c r="E155" s="0" t="str">
        <f aca="false">"88-99"</f>
        <v>88-99</v>
      </c>
      <c r="F155" s="0" t="s">
        <v>1814</v>
      </c>
      <c r="G155" s="0" t="s">
        <v>13</v>
      </c>
      <c r="H155" s="0" t="str">
        <f aca="false">"344-355"</f>
        <v>344-355</v>
      </c>
      <c r="I155" s="0" t="s">
        <v>13</v>
      </c>
      <c r="J155" s="0" t="str">
        <f aca="false">"448-459"</f>
        <v>448-459</v>
      </c>
      <c r="K155" s="0" t="str">
        <f aca="false">"1.00"</f>
        <v>1.00</v>
      </c>
      <c r="L155" s="0" t="str">
        <f aca="false">"12.56"</f>
        <v>12.56</v>
      </c>
      <c r="M155" s="0" t="str">
        <f aca="false">"-160.4"</f>
        <v>-160.4</v>
      </c>
    </row>
    <row r="156" customFormat="false" ht="12.8" hidden="false" customHeight="false" outlineLevel="0" collapsed="false">
      <c r="A156" s="0" t="s">
        <v>1692</v>
      </c>
      <c r="B156" s="0" t="s">
        <v>9</v>
      </c>
      <c r="C156" s="0" t="str">
        <f aca="false">"30-41"</f>
        <v>30-41</v>
      </c>
      <c r="D156" s="0" t="s">
        <v>9</v>
      </c>
      <c r="E156" s="0" t="str">
        <f aca="false">"91-102"</f>
        <v>91-102</v>
      </c>
      <c r="F156" s="0" t="s">
        <v>1815</v>
      </c>
      <c r="G156" s="0" t="s">
        <v>9</v>
      </c>
      <c r="H156" s="0" t="str">
        <f aca="false">"2-13"</f>
        <v>2-13</v>
      </c>
      <c r="I156" s="0" t="s">
        <v>9</v>
      </c>
      <c r="J156" s="0" t="str">
        <f aca="false">"354-365"</f>
        <v>354-365</v>
      </c>
      <c r="K156" s="0" t="str">
        <f aca="false">"1.02"</f>
        <v>1.02</v>
      </c>
      <c r="L156" s="0" t="str">
        <f aca="false">"10.69"</f>
        <v>10.69</v>
      </c>
      <c r="M156" s="0" t="str">
        <f aca="false">"-139.1"</f>
        <v>-139.1</v>
      </c>
    </row>
    <row r="157" customFormat="false" ht="12.8" hidden="false" customHeight="false" outlineLevel="0" collapsed="false">
      <c r="A157" s="0" t="s">
        <v>1692</v>
      </c>
      <c r="B157" s="0" t="s">
        <v>9</v>
      </c>
      <c r="C157" s="0" t="str">
        <f aca="false">"27-38"</f>
        <v>27-38</v>
      </c>
      <c r="D157" s="0" t="s">
        <v>9</v>
      </c>
      <c r="E157" s="0" t="str">
        <f aca="false">"91-102"</f>
        <v>91-102</v>
      </c>
      <c r="F157" s="0" t="s">
        <v>1816</v>
      </c>
      <c r="G157" s="0" t="s">
        <v>9</v>
      </c>
      <c r="H157" s="0" t="str">
        <f aca="false">"100-111"</f>
        <v>100-111</v>
      </c>
      <c r="I157" s="0" t="s">
        <v>9</v>
      </c>
      <c r="J157" s="0" t="str">
        <f aca="false">"132-143"</f>
        <v>132-143</v>
      </c>
      <c r="K157" s="0" t="str">
        <f aca="false">"1.22"</f>
        <v>1.22</v>
      </c>
      <c r="L157" s="0" t="str">
        <f aca="false">"12.57"</f>
        <v>12.57</v>
      </c>
      <c r="M157" s="0" t="str">
        <f aca="false">"-141.5"</f>
        <v>-141.5</v>
      </c>
    </row>
    <row r="158" customFormat="false" ht="12.8" hidden="false" customHeight="false" outlineLevel="0" collapsed="false">
      <c r="A158" s="0" t="s">
        <v>1692</v>
      </c>
      <c r="B158" s="0" t="s">
        <v>9</v>
      </c>
      <c r="C158" s="0" t="str">
        <f aca="false">"27-38"</f>
        <v>27-38</v>
      </c>
      <c r="D158" s="0" t="s">
        <v>9</v>
      </c>
      <c r="E158" s="0" t="str">
        <f aca="false">"91-102"</f>
        <v>91-102</v>
      </c>
      <c r="F158" s="0" t="s">
        <v>1817</v>
      </c>
      <c r="G158" s="0" t="s">
        <v>120</v>
      </c>
      <c r="H158" s="0" t="str">
        <f aca="false">"722-733"</f>
        <v>722-733</v>
      </c>
      <c r="I158" s="0" t="s">
        <v>120</v>
      </c>
      <c r="J158" s="0" t="str">
        <f aca="false">"695-706"</f>
        <v>695-706</v>
      </c>
      <c r="K158" s="0" t="str">
        <f aca="false">"1.19"</f>
        <v>1.19</v>
      </c>
      <c r="L158" s="0" t="str">
        <f aca="false">"12.63"</f>
        <v>12.63</v>
      </c>
      <c r="M158" s="0" t="str">
        <f aca="false">"-142.9"</f>
        <v>-142.9</v>
      </c>
    </row>
    <row r="159" customFormat="false" ht="12.8" hidden="false" customHeight="false" outlineLevel="0" collapsed="false">
      <c r="A159" s="0" t="s">
        <v>1692</v>
      </c>
      <c r="B159" s="0" t="s">
        <v>9</v>
      </c>
      <c r="C159" s="0" t="str">
        <f aca="false">"30-41"</f>
        <v>30-41</v>
      </c>
      <c r="D159" s="0" t="s">
        <v>9</v>
      </c>
      <c r="E159" s="0" t="str">
        <f aca="false">"87-98"</f>
        <v>87-98</v>
      </c>
      <c r="F159" s="0" t="s">
        <v>1818</v>
      </c>
      <c r="G159" s="0" t="s">
        <v>9</v>
      </c>
      <c r="H159" s="0" t="str">
        <f aca="false">"127-138"</f>
        <v>127-138</v>
      </c>
      <c r="I159" s="0" t="s">
        <v>9</v>
      </c>
      <c r="J159" s="0" t="str">
        <f aca="false">"166-177"</f>
        <v>166-177</v>
      </c>
      <c r="K159" s="0" t="str">
        <f aca="false">"1.05"</f>
        <v>1.05</v>
      </c>
      <c r="L159" s="0" t="str">
        <f aca="false">"11.80"</f>
        <v>11.80</v>
      </c>
      <c r="M159" s="0" t="str">
        <f aca="false">"-141.5"</f>
        <v>-141.5</v>
      </c>
    </row>
    <row r="160" customFormat="false" ht="12.8" hidden="false" customHeight="false" outlineLevel="0" collapsed="false">
      <c r="A160" s="0" t="s">
        <v>1692</v>
      </c>
      <c r="B160" s="0" t="s">
        <v>9</v>
      </c>
      <c r="C160" s="0" t="str">
        <f aca="false">"30-41"</f>
        <v>30-41</v>
      </c>
      <c r="D160" s="0" t="s">
        <v>9</v>
      </c>
      <c r="E160" s="0" t="str">
        <f aca="false">"91-102"</f>
        <v>91-102</v>
      </c>
      <c r="F160" s="0" t="s">
        <v>1819</v>
      </c>
      <c r="G160" s="0" t="s">
        <v>9</v>
      </c>
      <c r="H160" s="0" t="str">
        <f aca="false">"290-301"</f>
        <v>290-301</v>
      </c>
      <c r="I160" s="0" t="s">
        <v>9</v>
      </c>
      <c r="J160" s="0" t="str">
        <f aca="false">"224-235"</f>
        <v>224-235</v>
      </c>
      <c r="K160" s="0" t="str">
        <f aca="false">"1.15"</f>
        <v>1.15</v>
      </c>
      <c r="L160" s="0" t="str">
        <f aca="false">"12.56"</f>
        <v>12.56</v>
      </c>
      <c r="M160" s="0" t="str">
        <f aca="false">"-131.7"</f>
        <v>-131.7</v>
      </c>
    </row>
    <row r="161" customFormat="false" ht="12.8" hidden="false" customHeight="false" outlineLevel="0" collapsed="false">
      <c r="A161" s="0" t="s">
        <v>1692</v>
      </c>
      <c r="B161" s="0" t="s">
        <v>9</v>
      </c>
      <c r="C161" s="0" t="str">
        <f aca="false">"27-38"</f>
        <v>27-38</v>
      </c>
      <c r="D161" s="0" t="s">
        <v>9</v>
      </c>
      <c r="E161" s="0" t="str">
        <f aca="false">"91-102"</f>
        <v>91-102</v>
      </c>
      <c r="F161" s="0" t="s">
        <v>1820</v>
      </c>
      <c r="G161" s="0" t="s">
        <v>13</v>
      </c>
      <c r="H161" s="0" t="str">
        <f aca="false">"104-115"</f>
        <v>104-115</v>
      </c>
      <c r="I161" s="0" t="s">
        <v>13</v>
      </c>
      <c r="J161" s="0" t="str">
        <f aca="false">"2-13"</f>
        <v>2-13</v>
      </c>
      <c r="K161" s="0" t="str">
        <f aca="false">"1.23"</f>
        <v>1.23</v>
      </c>
      <c r="L161" s="0" t="str">
        <f aca="false">"12.59"</f>
        <v>12.59</v>
      </c>
      <c r="M161" s="0" t="str">
        <f aca="false">"-156.6"</f>
        <v>-156.6</v>
      </c>
    </row>
    <row r="162" customFormat="false" ht="12.8" hidden="false" customHeight="false" outlineLevel="0" collapsed="false">
      <c r="A162" s="0" t="s">
        <v>1692</v>
      </c>
      <c r="B162" s="0" t="s">
        <v>9</v>
      </c>
      <c r="C162" s="0" t="str">
        <f aca="false">"29-40"</f>
        <v>29-40</v>
      </c>
      <c r="D162" s="0" t="s">
        <v>9</v>
      </c>
      <c r="E162" s="0" t="str">
        <f aca="false">"88-99"</f>
        <v>88-99</v>
      </c>
      <c r="F162" s="0" t="s">
        <v>1821</v>
      </c>
      <c r="G162" s="0" t="s">
        <v>9</v>
      </c>
      <c r="H162" s="0" t="str">
        <f aca="false">"160-171"</f>
        <v>160-171</v>
      </c>
      <c r="I162" s="0" t="s">
        <v>9</v>
      </c>
      <c r="J162" s="0" t="str">
        <f aca="false">"122-133"</f>
        <v>122-133</v>
      </c>
      <c r="K162" s="0" t="str">
        <f aca="false">"1.18"</f>
        <v>1.18</v>
      </c>
      <c r="L162" s="0" t="str">
        <f aca="false">"12.76"</f>
        <v>12.76</v>
      </c>
      <c r="M162" s="0" t="str">
        <f aca="false">"-137.4"</f>
        <v>-137.4</v>
      </c>
    </row>
    <row r="163" customFormat="false" ht="12.8" hidden="false" customHeight="false" outlineLevel="0" collapsed="false">
      <c r="A163" s="0" t="s">
        <v>1692</v>
      </c>
      <c r="B163" s="0" t="s">
        <v>9</v>
      </c>
      <c r="C163" s="0" t="str">
        <f aca="false">"27-38"</f>
        <v>27-38</v>
      </c>
      <c r="D163" s="0" t="s">
        <v>9</v>
      </c>
      <c r="E163" s="0" t="str">
        <f aca="false">"91-102"</f>
        <v>91-102</v>
      </c>
      <c r="F163" s="0" t="s">
        <v>1822</v>
      </c>
      <c r="G163" s="0" t="s">
        <v>9</v>
      </c>
      <c r="H163" s="0" t="str">
        <f aca="false">"125-136"</f>
        <v>125-136</v>
      </c>
      <c r="I163" s="0" t="s">
        <v>9</v>
      </c>
      <c r="J163" s="0" t="str">
        <f aca="false">"36-47"</f>
        <v>36-47</v>
      </c>
      <c r="K163" s="0" t="str">
        <f aca="false">"1.08"</f>
        <v>1.08</v>
      </c>
      <c r="L163" s="0" t="str">
        <f aca="false">"12.61"</f>
        <v>12.61</v>
      </c>
      <c r="M163" s="0" t="str">
        <f aca="false">"-145.7"</f>
        <v>-145.7</v>
      </c>
    </row>
    <row r="164" customFormat="false" ht="12.8" hidden="false" customHeight="false" outlineLevel="0" collapsed="false">
      <c r="A164" s="0" t="s">
        <v>1692</v>
      </c>
      <c r="B164" s="0" t="s">
        <v>9</v>
      </c>
      <c r="C164" s="0" t="str">
        <f aca="false">"27-38"</f>
        <v>27-38</v>
      </c>
      <c r="D164" s="0" t="s">
        <v>9</v>
      </c>
      <c r="E164" s="0" t="str">
        <f aca="false">"91-102"</f>
        <v>91-102</v>
      </c>
      <c r="F164" s="0" t="s">
        <v>1823</v>
      </c>
      <c r="G164" s="0" t="s">
        <v>9</v>
      </c>
      <c r="H164" s="0" t="str">
        <f aca="false">"266-277"</f>
        <v>266-277</v>
      </c>
      <c r="I164" s="0" t="s">
        <v>9</v>
      </c>
      <c r="J164" s="0" t="str">
        <f aca="false">"298-309"</f>
        <v>298-309</v>
      </c>
      <c r="K164" s="0" t="str">
        <f aca="false">"1.17"</f>
        <v>1.17</v>
      </c>
      <c r="L164" s="0" t="str">
        <f aca="false">"12.77"</f>
        <v>12.77</v>
      </c>
      <c r="M164" s="0" t="str">
        <f aca="false">"-145.5"</f>
        <v>-145.5</v>
      </c>
    </row>
    <row r="165" customFormat="false" ht="12.8" hidden="false" customHeight="false" outlineLevel="0" collapsed="false">
      <c r="A165" s="0" t="s">
        <v>1692</v>
      </c>
      <c r="B165" s="0" t="s">
        <v>9</v>
      </c>
      <c r="C165" s="0" t="str">
        <f aca="false">"29-40"</f>
        <v>29-40</v>
      </c>
      <c r="D165" s="0" t="s">
        <v>9</v>
      </c>
      <c r="E165" s="0" t="str">
        <f aca="false">"87-98"</f>
        <v>87-98</v>
      </c>
      <c r="F165" s="0" t="s">
        <v>1824</v>
      </c>
      <c r="G165" s="0" t="s">
        <v>9</v>
      </c>
      <c r="H165" s="0" t="str">
        <f aca="false">"171-182"</f>
        <v>171-182</v>
      </c>
      <c r="I165" s="0" t="s">
        <v>9</v>
      </c>
      <c r="J165" s="0" t="str">
        <f aca="false">"134-145"</f>
        <v>134-145</v>
      </c>
      <c r="K165" s="0" t="str">
        <f aca="false">"1.04"</f>
        <v>1.04</v>
      </c>
      <c r="L165" s="0" t="str">
        <f aca="false">"12.95"</f>
        <v>12.95</v>
      </c>
      <c r="M165" s="0" t="str">
        <f aca="false">"-149.8"</f>
        <v>-149.8</v>
      </c>
    </row>
    <row r="166" customFormat="false" ht="12.8" hidden="false" customHeight="false" outlineLevel="0" collapsed="false">
      <c r="A166" s="0" t="s">
        <v>1692</v>
      </c>
      <c r="B166" s="0" t="s">
        <v>9</v>
      </c>
      <c r="C166" s="0" t="str">
        <f aca="false">"26-37"</f>
        <v>26-37</v>
      </c>
      <c r="D166" s="0" t="s">
        <v>9</v>
      </c>
      <c r="E166" s="0" t="str">
        <f aca="false">"91-102"</f>
        <v>91-102</v>
      </c>
      <c r="F166" s="0" t="s">
        <v>1825</v>
      </c>
      <c r="G166" s="0" t="s">
        <v>9</v>
      </c>
      <c r="H166" s="0" t="str">
        <f aca="false">"159-170"</f>
        <v>159-170</v>
      </c>
      <c r="I166" s="0" t="s">
        <v>9</v>
      </c>
      <c r="J166" s="0" t="str">
        <f aca="false">"132-143"</f>
        <v>132-143</v>
      </c>
      <c r="K166" s="0" t="str">
        <f aca="false">"1.06"</f>
        <v>1.06</v>
      </c>
      <c r="L166" s="0" t="str">
        <f aca="false">"13.27"</f>
        <v>13.27</v>
      </c>
      <c r="M166" s="0" t="str">
        <f aca="false">"-147.8"</f>
        <v>-147.8</v>
      </c>
    </row>
    <row r="167" customFormat="false" ht="12.8" hidden="false" customHeight="false" outlineLevel="0" collapsed="false">
      <c r="A167" s="0" t="s">
        <v>1692</v>
      </c>
      <c r="B167" s="0" t="s">
        <v>9</v>
      </c>
      <c r="C167" s="0" t="str">
        <f aca="false">"27-38"</f>
        <v>27-38</v>
      </c>
      <c r="D167" s="0" t="s">
        <v>9</v>
      </c>
      <c r="E167" s="0" t="str">
        <f aca="false">"89-100"</f>
        <v>89-100</v>
      </c>
      <c r="F167" s="0" t="s">
        <v>1826</v>
      </c>
      <c r="G167" s="0" t="s">
        <v>9</v>
      </c>
      <c r="H167" s="0" t="str">
        <f aca="false">"1046-1057"</f>
        <v>1046-1057</v>
      </c>
      <c r="I167" s="0" t="s">
        <v>9</v>
      </c>
      <c r="J167" s="0" t="str">
        <f aca="false">"1080-1091"</f>
        <v>1080-1091</v>
      </c>
      <c r="K167" s="0" t="str">
        <f aca="false">"0.85"</f>
        <v>0.85</v>
      </c>
      <c r="L167" s="0" t="str">
        <f aca="false">"12.62"</f>
        <v>12.62</v>
      </c>
      <c r="M167" s="0" t="str">
        <f aca="false">"-142.8"</f>
        <v>-142.8</v>
      </c>
    </row>
    <row r="168" customFormat="false" ht="12.8" hidden="false" customHeight="false" outlineLevel="0" collapsed="false">
      <c r="A168" s="0" t="s">
        <v>1692</v>
      </c>
      <c r="B168" s="0" t="s">
        <v>9</v>
      </c>
      <c r="C168" s="0" t="str">
        <f aca="false">"27-38"</f>
        <v>27-38</v>
      </c>
      <c r="D168" s="0" t="s">
        <v>9</v>
      </c>
      <c r="E168" s="0" t="str">
        <f aca="false">"90-101"</f>
        <v>90-101</v>
      </c>
      <c r="F168" s="0" t="s">
        <v>1827</v>
      </c>
      <c r="G168" s="0" t="s">
        <v>9</v>
      </c>
      <c r="H168" s="0" t="str">
        <f aca="false">"128-139"</f>
        <v>128-139</v>
      </c>
      <c r="I168" s="0" t="s">
        <v>9</v>
      </c>
      <c r="J168" s="0" t="str">
        <f aca="false">"159-170"</f>
        <v>159-170</v>
      </c>
      <c r="K168" s="0" t="str">
        <f aca="false">"0.95"</f>
        <v>0.95</v>
      </c>
      <c r="L168" s="0" t="str">
        <f aca="false">"12.84"</f>
        <v>12.84</v>
      </c>
      <c r="M168" s="0" t="str">
        <f aca="false">"-148.6"</f>
        <v>-148.6</v>
      </c>
    </row>
    <row r="169" customFormat="false" ht="12.8" hidden="false" customHeight="false" outlineLevel="0" collapsed="false">
      <c r="A169" s="0" t="s">
        <v>1692</v>
      </c>
      <c r="B169" s="0" t="s">
        <v>9</v>
      </c>
      <c r="C169" s="0" t="str">
        <f aca="false">"26-37"</f>
        <v>26-37</v>
      </c>
      <c r="D169" s="0" t="s">
        <v>9</v>
      </c>
      <c r="E169" s="0" t="str">
        <f aca="false">"95-106"</f>
        <v>95-106</v>
      </c>
      <c r="F169" s="0" t="s">
        <v>1828</v>
      </c>
      <c r="G169" s="0" t="s">
        <v>9</v>
      </c>
      <c r="H169" s="0" t="str">
        <f aca="false">"44-55"</f>
        <v>44-55</v>
      </c>
      <c r="I169" s="0" t="s">
        <v>9</v>
      </c>
      <c r="J169" s="0" t="str">
        <f aca="false">"109-120"</f>
        <v>109-120</v>
      </c>
      <c r="K169" s="0" t="str">
        <f aca="false">"1.21"</f>
        <v>1.21</v>
      </c>
      <c r="L169" s="0" t="str">
        <f aca="false">"12.24"</f>
        <v>12.24</v>
      </c>
      <c r="M169" s="0" t="str">
        <f aca="false">"-152.1"</f>
        <v>-152.1</v>
      </c>
    </row>
    <row r="170" customFormat="false" ht="12.8" hidden="false" customHeight="false" outlineLevel="0" collapsed="false">
      <c r="A170" s="0" t="s">
        <v>1692</v>
      </c>
      <c r="B170" s="0" t="s">
        <v>9</v>
      </c>
      <c r="C170" s="0" t="str">
        <f aca="false">"26-37"</f>
        <v>26-37</v>
      </c>
      <c r="D170" s="0" t="s">
        <v>9</v>
      </c>
      <c r="E170" s="0" t="str">
        <f aca="false">"92-103"</f>
        <v>92-103</v>
      </c>
      <c r="F170" s="0" t="s">
        <v>1829</v>
      </c>
      <c r="G170" s="0" t="s">
        <v>9</v>
      </c>
      <c r="H170" s="0" t="str">
        <f aca="false">"41-52"</f>
        <v>41-52</v>
      </c>
      <c r="I170" s="0" t="s">
        <v>9</v>
      </c>
      <c r="J170" s="0" t="str">
        <f aca="false">"271-282"</f>
        <v>271-282</v>
      </c>
      <c r="K170" s="0" t="str">
        <f aca="false">"1.19"</f>
        <v>1.19</v>
      </c>
      <c r="L170" s="0" t="str">
        <f aca="false">"10.73"</f>
        <v>10.73</v>
      </c>
      <c r="M170" s="0" t="str">
        <f aca="false">"-131.6"</f>
        <v>-131.6</v>
      </c>
    </row>
    <row r="171" customFormat="false" ht="12.8" hidden="false" customHeight="false" outlineLevel="0" collapsed="false">
      <c r="A171" s="0" t="s">
        <v>1692</v>
      </c>
      <c r="B171" s="0" t="s">
        <v>9</v>
      </c>
      <c r="C171" s="0" t="str">
        <f aca="false">"27-38"</f>
        <v>27-38</v>
      </c>
      <c r="D171" s="0" t="s">
        <v>9</v>
      </c>
      <c r="E171" s="0" t="str">
        <f aca="false">"91-102"</f>
        <v>91-102</v>
      </c>
      <c r="F171" s="0" t="s">
        <v>1830</v>
      </c>
      <c r="G171" s="0" t="s">
        <v>9</v>
      </c>
      <c r="H171" s="0" t="str">
        <f aca="false">"248-259"</f>
        <v>248-259</v>
      </c>
      <c r="I171" s="0" t="s">
        <v>9</v>
      </c>
      <c r="J171" s="0" t="str">
        <f aca="false">"159-170"</f>
        <v>159-170</v>
      </c>
      <c r="K171" s="0" t="str">
        <f aca="false">"1.10"</f>
        <v>1.10</v>
      </c>
      <c r="L171" s="0" t="str">
        <f aca="false">"10.73"</f>
        <v>10.73</v>
      </c>
      <c r="M171" s="0" t="str">
        <f aca="false">"-140.1"</f>
        <v>-140.1</v>
      </c>
    </row>
    <row r="172" customFormat="false" ht="12.8" hidden="false" customHeight="false" outlineLevel="0" collapsed="false">
      <c r="A172" s="0" t="s">
        <v>1692</v>
      </c>
      <c r="B172" s="0" t="s">
        <v>9</v>
      </c>
      <c r="C172" s="0" t="str">
        <f aca="false">"23-34"</f>
        <v>23-34</v>
      </c>
      <c r="D172" s="0" t="s">
        <v>9</v>
      </c>
      <c r="E172" s="0" t="str">
        <f aca="false">"95-106"</f>
        <v>95-106</v>
      </c>
      <c r="F172" s="0" t="s">
        <v>1831</v>
      </c>
      <c r="G172" s="0" t="s">
        <v>9</v>
      </c>
      <c r="H172" s="0" t="str">
        <f aca="false">"223-234"</f>
        <v>223-234</v>
      </c>
      <c r="I172" s="0" t="s">
        <v>9</v>
      </c>
      <c r="J172" s="0" t="str">
        <f aca="false">"173-184"</f>
        <v>173-184</v>
      </c>
      <c r="K172" s="0" t="str">
        <f aca="false">"1.20"</f>
        <v>1.20</v>
      </c>
      <c r="L172" s="0" t="str">
        <f aca="false">"11.57"</f>
        <v>11.57</v>
      </c>
      <c r="M172" s="0" t="str">
        <f aca="false">"-138.0"</f>
        <v>-138.0</v>
      </c>
    </row>
    <row r="173" customFormat="false" ht="12.8" hidden="false" customHeight="false" outlineLevel="0" collapsed="false">
      <c r="A173" s="0" t="s">
        <v>1692</v>
      </c>
      <c r="B173" s="0" t="s">
        <v>9</v>
      </c>
      <c r="C173" s="0" t="str">
        <f aca="false">"26-37"</f>
        <v>26-37</v>
      </c>
      <c r="D173" s="0" t="s">
        <v>9</v>
      </c>
      <c r="E173" s="0" t="str">
        <f aca="false">"93-104"</f>
        <v>93-104</v>
      </c>
      <c r="F173" s="0" t="s">
        <v>1832</v>
      </c>
      <c r="G173" s="0" t="s">
        <v>9</v>
      </c>
      <c r="H173" s="0" t="str">
        <f aca="false">"235-246"</f>
        <v>235-246</v>
      </c>
      <c r="I173" s="0" t="s">
        <v>9</v>
      </c>
      <c r="J173" s="0" t="str">
        <f aca="false">"259-270"</f>
        <v>259-270</v>
      </c>
      <c r="K173" s="0" t="str">
        <f aca="false">"1.04"</f>
        <v>1.04</v>
      </c>
      <c r="L173" s="0" t="str">
        <f aca="false">"11.36"</f>
        <v>11.36</v>
      </c>
      <c r="M173" s="0" t="str">
        <f aca="false">"-138.3"</f>
        <v>-138.3</v>
      </c>
    </row>
    <row r="174" customFormat="false" ht="12.8" hidden="false" customHeight="false" outlineLevel="0" collapsed="false">
      <c r="A174" s="0" t="s">
        <v>1692</v>
      </c>
      <c r="B174" s="0" t="s">
        <v>9</v>
      </c>
      <c r="C174" s="0" t="str">
        <f aca="false">"26-37"</f>
        <v>26-37</v>
      </c>
      <c r="D174" s="0" t="s">
        <v>9</v>
      </c>
      <c r="E174" s="0" t="str">
        <f aca="false">"94-105"</f>
        <v>94-105</v>
      </c>
      <c r="F174" s="0" t="s">
        <v>1833</v>
      </c>
      <c r="G174" s="0" t="s">
        <v>13</v>
      </c>
      <c r="H174" s="0" t="str">
        <f aca="false">"176-187"</f>
        <v>176-187</v>
      </c>
      <c r="I174" s="0" t="s">
        <v>13</v>
      </c>
      <c r="J174" s="0" t="str">
        <f aca="false">"76-87"</f>
        <v>76-87</v>
      </c>
      <c r="K174" s="0" t="str">
        <f aca="false">"1.03"</f>
        <v>1.03</v>
      </c>
      <c r="L174" s="0" t="str">
        <f aca="false">"11.81"</f>
        <v>11.81</v>
      </c>
      <c r="M174" s="0" t="str">
        <f aca="false">"-144.8"</f>
        <v>-144.8</v>
      </c>
    </row>
    <row r="175" customFormat="false" ht="12.8" hidden="false" customHeight="false" outlineLevel="0" collapsed="false">
      <c r="A175" s="0" t="s">
        <v>1692</v>
      </c>
      <c r="B175" s="0" t="s">
        <v>9</v>
      </c>
      <c r="C175" s="0" t="str">
        <f aca="false">"26-37"</f>
        <v>26-37</v>
      </c>
      <c r="D175" s="0" t="s">
        <v>9</v>
      </c>
      <c r="E175" s="0" t="str">
        <f aca="false">"92-103"</f>
        <v>92-103</v>
      </c>
      <c r="F175" s="0" t="s">
        <v>1834</v>
      </c>
      <c r="G175" s="0" t="s">
        <v>9</v>
      </c>
      <c r="H175" s="0" t="str">
        <f aca="false">"363-374"</f>
        <v>363-374</v>
      </c>
      <c r="I175" s="0" t="s">
        <v>9</v>
      </c>
      <c r="J175" s="0" t="str">
        <f aca="false">"316-327"</f>
        <v>316-327</v>
      </c>
      <c r="K175" s="0" t="str">
        <f aca="false">"1.13"</f>
        <v>1.13</v>
      </c>
      <c r="L175" s="0" t="str">
        <f aca="false">"12.03"</f>
        <v>12.03</v>
      </c>
      <c r="M175" s="0" t="str">
        <f aca="false">"-137.6"</f>
        <v>-137.6</v>
      </c>
    </row>
    <row r="176" customFormat="false" ht="12.8" hidden="false" customHeight="false" outlineLevel="0" collapsed="false">
      <c r="A176" s="0" t="s">
        <v>1692</v>
      </c>
      <c r="B176" s="0" t="s">
        <v>9</v>
      </c>
      <c r="C176" s="0" t="str">
        <f aca="false">"25-36"</f>
        <v>25-36</v>
      </c>
      <c r="D176" s="0" t="s">
        <v>9</v>
      </c>
      <c r="E176" s="0" t="str">
        <f aca="false">"91-102"</f>
        <v>91-102</v>
      </c>
      <c r="F176" s="0" t="s">
        <v>1835</v>
      </c>
      <c r="G176" s="0" t="s">
        <v>13</v>
      </c>
      <c r="H176" s="0" t="str">
        <f aca="false">"217-228"</f>
        <v>217-228</v>
      </c>
      <c r="I176" s="0" t="s">
        <v>9</v>
      </c>
      <c r="J176" s="0" t="str">
        <f aca="false">"216-227"</f>
        <v>216-227</v>
      </c>
      <c r="K176" s="0" t="str">
        <f aca="false">"1.15"</f>
        <v>1.15</v>
      </c>
      <c r="L176" s="0" t="str">
        <f aca="false">"10.71"</f>
        <v>10.71</v>
      </c>
      <c r="M176" s="0" t="str">
        <f aca="false">"-141.9"</f>
        <v>-141.9</v>
      </c>
    </row>
    <row r="177" customFormat="false" ht="12.8" hidden="false" customHeight="false" outlineLevel="0" collapsed="false">
      <c r="A177" s="0" t="s">
        <v>1692</v>
      </c>
      <c r="B177" s="0" t="s">
        <v>9</v>
      </c>
      <c r="C177" s="0" t="str">
        <f aca="false">"25-36"</f>
        <v>25-36</v>
      </c>
      <c r="D177" s="0" t="s">
        <v>9</v>
      </c>
      <c r="E177" s="0" t="str">
        <f aca="false">"91-102"</f>
        <v>91-102</v>
      </c>
      <c r="F177" s="0" t="s">
        <v>1836</v>
      </c>
      <c r="G177" s="0" t="s">
        <v>9</v>
      </c>
      <c r="H177" s="0" t="str">
        <f aca="false">"189-200"</f>
        <v>189-200</v>
      </c>
      <c r="I177" s="0" t="s">
        <v>9</v>
      </c>
      <c r="J177" s="0" t="str">
        <f aca="false">"168-179"</f>
        <v>168-179</v>
      </c>
      <c r="K177" s="0" t="str">
        <f aca="false">"0.98"</f>
        <v>0.98</v>
      </c>
      <c r="L177" s="0" t="str">
        <f aca="false">"12.28"</f>
        <v>12.28</v>
      </c>
      <c r="M177" s="0" t="str">
        <f aca="false">"-143.2"</f>
        <v>-143.2</v>
      </c>
    </row>
    <row r="178" customFormat="false" ht="12.8" hidden="false" customHeight="false" outlineLevel="0" collapsed="false">
      <c r="A178" s="0" t="s">
        <v>1692</v>
      </c>
      <c r="B178" s="0" t="s">
        <v>9</v>
      </c>
      <c r="C178" s="0" t="str">
        <f aca="false">"27-38"</f>
        <v>27-38</v>
      </c>
      <c r="D178" s="0" t="s">
        <v>9</v>
      </c>
      <c r="E178" s="0" t="str">
        <f aca="false">"91-102"</f>
        <v>91-102</v>
      </c>
      <c r="F178" s="0" t="s">
        <v>1837</v>
      </c>
      <c r="G178" s="0" t="s">
        <v>120</v>
      </c>
      <c r="H178" s="0" t="str">
        <f aca="false">"283-294"</f>
        <v>283-294</v>
      </c>
      <c r="I178" s="0" t="s">
        <v>120</v>
      </c>
      <c r="J178" s="0" t="str">
        <f aca="false">"265-276"</f>
        <v>265-276</v>
      </c>
      <c r="K178" s="0" t="str">
        <f aca="false">"1.22"</f>
        <v>1.22</v>
      </c>
      <c r="L178" s="0" t="str">
        <f aca="false">"12.47"</f>
        <v>12.47</v>
      </c>
      <c r="M178" s="0" t="str">
        <f aca="false">"-140.0"</f>
        <v>-140.0</v>
      </c>
    </row>
    <row r="179" customFormat="false" ht="12.8" hidden="false" customHeight="false" outlineLevel="0" collapsed="false">
      <c r="A179" s="0" t="s">
        <v>1692</v>
      </c>
      <c r="B179" s="0" t="s">
        <v>9</v>
      </c>
      <c r="C179" s="0" t="str">
        <f aca="false">"27-38"</f>
        <v>27-38</v>
      </c>
      <c r="D179" s="0" t="s">
        <v>9</v>
      </c>
      <c r="E179" s="0" t="str">
        <f aca="false">"91-102"</f>
        <v>91-102</v>
      </c>
      <c r="F179" s="0" t="s">
        <v>1838</v>
      </c>
      <c r="G179" s="0" t="s">
        <v>9</v>
      </c>
      <c r="H179" s="0" t="str">
        <f aca="false">"48-59"</f>
        <v>48-59</v>
      </c>
      <c r="I179" s="0" t="s">
        <v>9</v>
      </c>
      <c r="J179" s="0" t="str">
        <f aca="false">"25-36"</f>
        <v>25-36</v>
      </c>
      <c r="K179" s="0" t="str">
        <f aca="false">"1.20"</f>
        <v>1.20</v>
      </c>
      <c r="L179" s="0" t="str">
        <f aca="false">"10.93"</f>
        <v>10.93</v>
      </c>
      <c r="M179" s="0" t="str">
        <f aca="false">"-140.6"</f>
        <v>-140.6</v>
      </c>
    </row>
    <row r="180" customFormat="false" ht="12.8" hidden="false" customHeight="false" outlineLevel="0" collapsed="false">
      <c r="A180" s="0" t="s">
        <v>1692</v>
      </c>
      <c r="B180" s="0" t="s">
        <v>9</v>
      </c>
      <c r="C180" s="0" t="str">
        <f aca="false">"23-34"</f>
        <v>23-34</v>
      </c>
      <c r="D180" s="0" t="s">
        <v>9</v>
      </c>
      <c r="E180" s="0" t="str">
        <f aca="false">"95-106"</f>
        <v>95-106</v>
      </c>
      <c r="F180" s="0" t="s">
        <v>1839</v>
      </c>
      <c r="G180" s="0" t="s">
        <v>9</v>
      </c>
      <c r="H180" s="0" t="str">
        <f aca="false">"546-557"</f>
        <v>546-557</v>
      </c>
      <c r="I180" s="0" t="s">
        <v>9</v>
      </c>
      <c r="J180" s="0" t="str">
        <f aca="false">"600-611"</f>
        <v>600-611</v>
      </c>
      <c r="K180" s="0" t="str">
        <f aca="false">"1.14"</f>
        <v>1.14</v>
      </c>
      <c r="L180" s="0" t="str">
        <f aca="false">"10.71"</f>
        <v>10.71</v>
      </c>
      <c r="M180" s="0" t="str">
        <f aca="false">"-136.3"</f>
        <v>-136.3</v>
      </c>
    </row>
    <row r="181" customFormat="false" ht="12.8" hidden="false" customHeight="false" outlineLevel="0" collapsed="false">
      <c r="A181" s="0" t="s">
        <v>1692</v>
      </c>
      <c r="B181" s="0" t="s">
        <v>9</v>
      </c>
      <c r="C181" s="0" t="str">
        <f aca="false">"27-38"</f>
        <v>27-38</v>
      </c>
      <c r="D181" s="0" t="s">
        <v>9</v>
      </c>
      <c r="E181" s="0" t="str">
        <f aca="false">"91-102"</f>
        <v>91-102</v>
      </c>
      <c r="F181" s="0" t="s">
        <v>1840</v>
      </c>
      <c r="G181" s="0" t="s">
        <v>13</v>
      </c>
      <c r="H181" s="0" t="str">
        <f aca="false">"89-100"</f>
        <v>89-100</v>
      </c>
      <c r="I181" s="0" t="s">
        <v>13</v>
      </c>
      <c r="J181" s="0" t="str">
        <f aca="false">"68-79"</f>
        <v>68-79</v>
      </c>
      <c r="K181" s="0" t="str">
        <f aca="false">"1.19"</f>
        <v>1.19</v>
      </c>
      <c r="L181" s="0" t="str">
        <f aca="false">"12.08"</f>
        <v>12.08</v>
      </c>
      <c r="M181" s="0" t="str">
        <f aca="false">"-154.9"</f>
        <v>-154.9</v>
      </c>
    </row>
    <row r="182" customFormat="false" ht="12.8" hidden="false" customHeight="false" outlineLevel="0" collapsed="false">
      <c r="A182" s="0" t="s">
        <v>1692</v>
      </c>
      <c r="B182" s="0" t="s">
        <v>9</v>
      </c>
      <c r="C182" s="0" t="str">
        <f aca="false">"23-34"</f>
        <v>23-34</v>
      </c>
      <c r="D182" s="0" t="s">
        <v>9</v>
      </c>
      <c r="E182" s="0" t="str">
        <f aca="false">"95-106"</f>
        <v>95-106</v>
      </c>
      <c r="F182" s="0" t="s">
        <v>1841</v>
      </c>
      <c r="G182" s="0" t="s">
        <v>9</v>
      </c>
      <c r="H182" s="0" t="str">
        <f aca="false">"116-127"</f>
        <v>116-127</v>
      </c>
      <c r="I182" s="0" t="s">
        <v>9</v>
      </c>
      <c r="J182" s="0" t="str">
        <f aca="false">"138-149"</f>
        <v>138-149</v>
      </c>
      <c r="K182" s="0" t="str">
        <f aca="false">"1.08"</f>
        <v>1.08</v>
      </c>
      <c r="L182" s="0" t="str">
        <f aca="false">"12.35"</f>
        <v>12.35</v>
      </c>
      <c r="M182" s="0" t="str">
        <f aca="false">"-138.2"</f>
        <v>-138.2</v>
      </c>
    </row>
    <row r="183" customFormat="false" ht="12.8" hidden="false" customHeight="false" outlineLevel="0" collapsed="false">
      <c r="A183" s="0" t="s">
        <v>1692</v>
      </c>
      <c r="B183" s="0" t="s">
        <v>9</v>
      </c>
      <c r="C183" s="0" t="str">
        <f aca="false">"23-34"</f>
        <v>23-34</v>
      </c>
      <c r="D183" s="0" t="s">
        <v>9</v>
      </c>
      <c r="E183" s="0" t="str">
        <f aca="false">"95-106"</f>
        <v>95-106</v>
      </c>
      <c r="F183" s="0" t="s">
        <v>1842</v>
      </c>
      <c r="G183" s="0" t="s">
        <v>9</v>
      </c>
      <c r="H183" s="0" t="str">
        <f aca="false">"561-572"</f>
        <v>561-572</v>
      </c>
      <c r="I183" s="0" t="s">
        <v>9</v>
      </c>
      <c r="J183" s="0" t="str">
        <f aca="false">"482-493"</f>
        <v>482-493</v>
      </c>
      <c r="K183" s="0" t="str">
        <f aca="false">"1.18"</f>
        <v>1.18</v>
      </c>
      <c r="L183" s="0" t="str">
        <f aca="false">"11.61"</f>
        <v>11.61</v>
      </c>
      <c r="M183" s="0" t="str">
        <f aca="false">"-135.6"</f>
        <v>-135.6</v>
      </c>
    </row>
    <row r="184" customFormat="false" ht="12.8" hidden="false" customHeight="false" outlineLevel="0" collapsed="false">
      <c r="A184" s="0" t="s">
        <v>1692</v>
      </c>
      <c r="B184" s="0" t="s">
        <v>9</v>
      </c>
      <c r="C184" s="0" t="str">
        <f aca="false">"23-34"</f>
        <v>23-34</v>
      </c>
      <c r="D184" s="0" t="s">
        <v>9</v>
      </c>
      <c r="E184" s="0" t="str">
        <f aca="false">"94-105"</f>
        <v>94-105</v>
      </c>
      <c r="F184" s="0" t="s">
        <v>1843</v>
      </c>
      <c r="G184" s="0" t="s">
        <v>120</v>
      </c>
      <c r="H184" s="0" t="str">
        <f aca="false">"229-240"</f>
        <v>229-240</v>
      </c>
      <c r="I184" s="0" t="s">
        <v>120</v>
      </c>
      <c r="J184" s="0" t="str">
        <f aca="false">"262-273"</f>
        <v>262-273</v>
      </c>
      <c r="K184" s="0" t="str">
        <f aca="false">"0.91"</f>
        <v>0.91</v>
      </c>
      <c r="L184" s="0" t="str">
        <f aca="false">"11.49"</f>
        <v>11.49</v>
      </c>
      <c r="M184" s="0" t="str">
        <f aca="false">"-138.4"</f>
        <v>-138.4</v>
      </c>
    </row>
    <row r="185" customFormat="false" ht="12.8" hidden="false" customHeight="false" outlineLevel="0" collapsed="false">
      <c r="A185" s="0" t="s">
        <v>1692</v>
      </c>
      <c r="B185" s="0" t="s">
        <v>9</v>
      </c>
      <c r="C185" s="0" t="str">
        <f aca="false">"30-41"</f>
        <v>30-41</v>
      </c>
      <c r="D185" s="0" t="s">
        <v>9</v>
      </c>
      <c r="E185" s="0" t="str">
        <f aca="false">"85-96"</f>
        <v>85-96</v>
      </c>
      <c r="F185" s="0" t="s">
        <v>1844</v>
      </c>
      <c r="G185" s="0" t="s">
        <v>9</v>
      </c>
      <c r="H185" s="0" t="str">
        <f aca="false">"111-122"</f>
        <v>111-122</v>
      </c>
      <c r="I185" s="0" t="s">
        <v>9</v>
      </c>
      <c r="J185" s="0" t="str">
        <f aca="false">"134-145"</f>
        <v>134-145</v>
      </c>
      <c r="K185" s="0" t="str">
        <f aca="false">"1.16"</f>
        <v>1.16</v>
      </c>
      <c r="L185" s="0" t="str">
        <f aca="false">"12.18"</f>
        <v>12.18</v>
      </c>
      <c r="M185" s="0" t="str">
        <f aca="false">"-154.3"</f>
        <v>-154.3</v>
      </c>
    </row>
    <row r="186" customFormat="false" ht="12.8" hidden="false" customHeight="false" outlineLevel="0" collapsed="false">
      <c r="A186" s="0" t="s">
        <v>1692</v>
      </c>
      <c r="B186" s="0" t="s">
        <v>9</v>
      </c>
      <c r="C186" s="0" t="str">
        <f aca="false">"28-39"</f>
        <v>28-39</v>
      </c>
      <c r="D186" s="0" t="s">
        <v>9</v>
      </c>
      <c r="E186" s="0" t="str">
        <f aca="false">"90-101"</f>
        <v>90-101</v>
      </c>
      <c r="F186" s="0" t="s">
        <v>1845</v>
      </c>
      <c r="G186" s="0" t="s">
        <v>9</v>
      </c>
      <c r="H186" s="0" t="str">
        <f aca="false">"346-357"</f>
        <v>346-357</v>
      </c>
      <c r="I186" s="0" t="s">
        <v>9</v>
      </c>
      <c r="J186" s="0" t="str">
        <f aca="false">"328-339"</f>
        <v>328-339</v>
      </c>
      <c r="K186" s="0" t="str">
        <f aca="false">"1.15"</f>
        <v>1.15</v>
      </c>
      <c r="L186" s="0" t="str">
        <f aca="false">"12.06"</f>
        <v>12.06</v>
      </c>
      <c r="M186" s="0" t="str">
        <f aca="false">"-139.1"</f>
        <v>-139.1</v>
      </c>
    </row>
    <row r="187" customFormat="false" ht="12.8" hidden="false" customHeight="false" outlineLevel="0" collapsed="false">
      <c r="A187" s="0" t="s">
        <v>1692</v>
      </c>
      <c r="B187" s="0" t="s">
        <v>9</v>
      </c>
      <c r="C187" s="0" t="str">
        <f aca="false">"28-39"</f>
        <v>28-39</v>
      </c>
      <c r="D187" s="0" t="s">
        <v>9</v>
      </c>
      <c r="E187" s="0" t="str">
        <f aca="false">"91-102"</f>
        <v>91-102</v>
      </c>
      <c r="F187" s="0" t="s">
        <v>1846</v>
      </c>
      <c r="G187" s="0" t="s">
        <v>9</v>
      </c>
      <c r="H187" s="0" t="str">
        <f aca="false">"192-203"</f>
        <v>192-203</v>
      </c>
      <c r="I187" s="0" t="s">
        <v>9</v>
      </c>
      <c r="J187" s="0" t="str">
        <f aca="false">"71-82"</f>
        <v>71-82</v>
      </c>
      <c r="K187" s="0" t="str">
        <f aca="false">"1.01"</f>
        <v>1.01</v>
      </c>
      <c r="L187" s="0" t="str">
        <f aca="false">"11.00"</f>
        <v>11.00</v>
      </c>
      <c r="M187" s="0" t="str">
        <f aca="false">"-139.8"</f>
        <v>-139.8</v>
      </c>
    </row>
    <row r="188" customFormat="false" ht="12.8" hidden="false" customHeight="false" outlineLevel="0" collapsed="false">
      <c r="A188" s="0" t="s">
        <v>1692</v>
      </c>
      <c r="B188" s="0" t="s">
        <v>9</v>
      </c>
      <c r="C188" s="0" t="str">
        <f aca="false">"27-38"</f>
        <v>27-38</v>
      </c>
      <c r="D188" s="0" t="s">
        <v>9</v>
      </c>
      <c r="E188" s="0" t="str">
        <f aca="false">"91-102"</f>
        <v>91-102</v>
      </c>
      <c r="F188" s="0" t="s">
        <v>1847</v>
      </c>
      <c r="G188" s="0" t="s">
        <v>9</v>
      </c>
      <c r="H188" s="0" t="str">
        <f aca="false">"173-184"</f>
        <v>173-184</v>
      </c>
      <c r="I188" s="0" t="s">
        <v>9</v>
      </c>
      <c r="J188" s="0" t="str">
        <f aca="false">"61-72"</f>
        <v>61-72</v>
      </c>
      <c r="K188" s="0" t="str">
        <f aca="false">"1.23"</f>
        <v>1.23</v>
      </c>
      <c r="L188" s="0" t="str">
        <f aca="false">"9.95"</f>
        <v>9.95</v>
      </c>
      <c r="M188" s="0" t="str">
        <f aca="false">"-145.0"</f>
        <v>-145.0</v>
      </c>
    </row>
    <row r="189" customFormat="false" ht="12.8" hidden="false" customHeight="false" outlineLevel="0" collapsed="false">
      <c r="A189" s="0" t="s">
        <v>1692</v>
      </c>
      <c r="B189" s="0" t="s">
        <v>9</v>
      </c>
      <c r="C189" s="0" t="str">
        <f aca="false">"26-37"</f>
        <v>26-37</v>
      </c>
      <c r="D189" s="0" t="s">
        <v>9</v>
      </c>
      <c r="E189" s="0" t="str">
        <f aca="false">"94-105"</f>
        <v>94-105</v>
      </c>
      <c r="F189" s="0" t="s">
        <v>1848</v>
      </c>
      <c r="G189" s="0" t="s">
        <v>9</v>
      </c>
      <c r="H189" s="0" t="str">
        <f aca="false">"4-15"</f>
        <v>4-15</v>
      </c>
      <c r="I189" s="0" t="s">
        <v>13</v>
      </c>
      <c r="J189" s="0" t="str">
        <f aca="false">"4-15"</f>
        <v>4-15</v>
      </c>
      <c r="K189" s="0" t="str">
        <f aca="false">"0.90"</f>
        <v>0.90</v>
      </c>
      <c r="L189" s="0" t="str">
        <f aca="false">"10.33"</f>
        <v>10.33</v>
      </c>
      <c r="M189" s="0" t="str">
        <f aca="false">"-139.6"</f>
        <v>-139.6</v>
      </c>
    </row>
    <row r="190" customFormat="false" ht="12.8" hidden="false" customHeight="false" outlineLevel="0" collapsed="false">
      <c r="A190" s="0" t="s">
        <v>1692</v>
      </c>
      <c r="B190" s="0" t="s">
        <v>9</v>
      </c>
      <c r="C190" s="0" t="str">
        <f aca="false">"26-37"</f>
        <v>26-37</v>
      </c>
      <c r="D190" s="0" t="s">
        <v>9</v>
      </c>
      <c r="E190" s="0" t="str">
        <f aca="false">"95-106"</f>
        <v>95-106</v>
      </c>
      <c r="F190" s="0" t="s">
        <v>1849</v>
      </c>
      <c r="G190" s="0" t="s">
        <v>13</v>
      </c>
      <c r="H190" s="0" t="str">
        <f aca="false">"264-275"</f>
        <v>264-275</v>
      </c>
      <c r="I190" s="0" t="s">
        <v>13</v>
      </c>
      <c r="J190" s="0" t="str">
        <f aca="false">"205-216"</f>
        <v>205-216</v>
      </c>
      <c r="K190" s="0" t="str">
        <f aca="false">"1.20"</f>
        <v>1.20</v>
      </c>
      <c r="L190" s="0" t="str">
        <f aca="false">"9.37"</f>
        <v>9.37</v>
      </c>
      <c r="M190" s="0" t="str">
        <f aca="false">"-138.5"</f>
        <v>-138.5</v>
      </c>
    </row>
    <row r="191" customFormat="false" ht="12.8" hidden="false" customHeight="false" outlineLevel="0" collapsed="false">
      <c r="A191" s="0" t="s">
        <v>1692</v>
      </c>
      <c r="B191" s="0" t="s">
        <v>9</v>
      </c>
      <c r="C191" s="0" t="str">
        <f aca="false">"30-41"</f>
        <v>30-41</v>
      </c>
      <c r="D191" s="0" t="s">
        <v>9</v>
      </c>
      <c r="E191" s="0" t="str">
        <f aca="false">"86-97"</f>
        <v>86-97</v>
      </c>
      <c r="F191" s="0" t="s">
        <v>1850</v>
      </c>
      <c r="G191" s="0" t="s">
        <v>120</v>
      </c>
      <c r="H191" s="0" t="str">
        <f aca="false">"757-768"</f>
        <v>757-768</v>
      </c>
      <c r="I191" s="0" t="s">
        <v>120</v>
      </c>
      <c r="J191" s="0" t="str">
        <f aca="false">"736-747"</f>
        <v>736-747</v>
      </c>
      <c r="K191" s="0" t="str">
        <f aca="false">"1.08"</f>
        <v>1.08</v>
      </c>
      <c r="L191" s="0" t="str">
        <f aca="false">"13.29"</f>
        <v>13.29</v>
      </c>
      <c r="M191" s="0" t="str">
        <f aca="false">"-152.0"</f>
        <v>-152.0</v>
      </c>
    </row>
    <row r="192" customFormat="false" ht="12.8" hidden="false" customHeight="false" outlineLevel="0" collapsed="false">
      <c r="A192" s="0" t="s">
        <v>1692</v>
      </c>
      <c r="B192" s="0" t="s">
        <v>9</v>
      </c>
      <c r="C192" s="0" t="str">
        <f aca="false">"29-40"</f>
        <v>29-40</v>
      </c>
      <c r="D192" s="0" t="s">
        <v>9</v>
      </c>
      <c r="E192" s="0" t="str">
        <f aca="false">"91-102"</f>
        <v>91-102</v>
      </c>
      <c r="F192" s="0" t="s">
        <v>1851</v>
      </c>
      <c r="G192" s="0" t="s">
        <v>13</v>
      </c>
      <c r="H192" s="0" t="str">
        <f aca="false">"97-108"</f>
        <v>97-108</v>
      </c>
      <c r="I192" s="0" t="s">
        <v>13</v>
      </c>
      <c r="J192" s="0" t="str">
        <f aca="false">"78-89"</f>
        <v>78-89</v>
      </c>
      <c r="K192" s="0" t="str">
        <f aca="false">"0.61"</f>
        <v>0.61</v>
      </c>
      <c r="L192" s="0" t="str">
        <f aca="false">"10.45"</f>
        <v>10.45</v>
      </c>
      <c r="M192" s="0" t="str">
        <f aca="false">"-143.5"</f>
        <v>-143.5</v>
      </c>
    </row>
    <row r="193" customFormat="false" ht="12.8" hidden="false" customHeight="false" outlineLevel="0" collapsed="false">
      <c r="A193" s="0" t="s">
        <v>1692</v>
      </c>
      <c r="B193" s="0" t="s">
        <v>9</v>
      </c>
      <c r="C193" s="0" t="str">
        <f aca="false">"25-36"</f>
        <v>25-36</v>
      </c>
      <c r="D193" s="0" t="s">
        <v>9</v>
      </c>
      <c r="E193" s="0" t="str">
        <f aca="false">"94-105"</f>
        <v>94-105</v>
      </c>
      <c r="F193" s="0" t="s">
        <v>1852</v>
      </c>
      <c r="G193" s="0" t="s">
        <v>9</v>
      </c>
      <c r="H193" s="0" t="str">
        <f aca="false">"213-224"</f>
        <v>213-224</v>
      </c>
      <c r="I193" s="0" t="s">
        <v>9</v>
      </c>
      <c r="J193" s="0" t="str">
        <f aca="false">"113-124"</f>
        <v>113-124</v>
      </c>
      <c r="K193" s="0" t="str">
        <f aca="false">"1.15"</f>
        <v>1.15</v>
      </c>
      <c r="L193" s="0" t="str">
        <f aca="false">"11.07"</f>
        <v>11.07</v>
      </c>
      <c r="M193" s="0" t="str">
        <f aca="false">"-155.8"</f>
        <v>-155.8</v>
      </c>
    </row>
    <row r="194" customFormat="false" ht="12.8" hidden="false" customHeight="false" outlineLevel="0" collapsed="false">
      <c r="A194" s="0" t="s">
        <v>1692</v>
      </c>
      <c r="B194" s="0" t="s">
        <v>9</v>
      </c>
      <c r="C194" s="0" t="str">
        <f aca="false">"27-38"</f>
        <v>27-38</v>
      </c>
      <c r="D194" s="0" t="s">
        <v>9</v>
      </c>
      <c r="E194" s="0" t="str">
        <f aca="false">"90-101"</f>
        <v>90-101</v>
      </c>
      <c r="F194" s="0" t="s">
        <v>1853</v>
      </c>
      <c r="G194" s="0" t="s">
        <v>13</v>
      </c>
      <c r="H194" s="0" t="str">
        <f aca="false">"249-260"</f>
        <v>249-260</v>
      </c>
      <c r="I194" s="0" t="s">
        <v>13</v>
      </c>
      <c r="J194" s="0" t="str">
        <f aca="false">"137-148"</f>
        <v>137-148</v>
      </c>
      <c r="K194" s="0" t="str">
        <f aca="false">"1.21"</f>
        <v>1.21</v>
      </c>
      <c r="L194" s="0" t="str">
        <f aca="false">"11.18"</f>
        <v>11.18</v>
      </c>
      <c r="M194" s="0" t="str">
        <f aca="false">"-140.2"</f>
        <v>-140.2</v>
      </c>
    </row>
    <row r="195" customFormat="false" ht="12.8" hidden="false" customHeight="false" outlineLevel="0" collapsed="false">
      <c r="A195" s="0" t="s">
        <v>1692</v>
      </c>
      <c r="B195" s="0" t="s">
        <v>9</v>
      </c>
      <c r="C195" s="0" t="str">
        <f aca="false">"29-40"</f>
        <v>29-40</v>
      </c>
      <c r="D195" s="0" t="s">
        <v>9</v>
      </c>
      <c r="E195" s="0" t="str">
        <f aca="false">"88-99"</f>
        <v>88-99</v>
      </c>
      <c r="F195" s="0" t="s">
        <v>1854</v>
      </c>
      <c r="G195" s="0" t="s">
        <v>9</v>
      </c>
      <c r="H195" s="0" t="str">
        <f aca="false">"577-588"</f>
        <v>577-588</v>
      </c>
      <c r="I195" s="0" t="s">
        <v>9</v>
      </c>
      <c r="J195" s="0" t="str">
        <f aca="false">"563-574"</f>
        <v>563-574</v>
      </c>
      <c r="K195" s="0" t="str">
        <f aca="false">"0.97"</f>
        <v>0.97</v>
      </c>
      <c r="L195" s="0" t="str">
        <f aca="false">"11.82"</f>
        <v>11.82</v>
      </c>
      <c r="M195" s="0" t="str">
        <f aca="false">"-141.5"</f>
        <v>-141.5</v>
      </c>
    </row>
    <row r="196" customFormat="false" ht="12.8" hidden="false" customHeight="false" outlineLevel="0" collapsed="false">
      <c r="A196" s="0" t="s">
        <v>1692</v>
      </c>
      <c r="B196" s="0" t="s">
        <v>9</v>
      </c>
      <c r="C196" s="0" t="str">
        <f aca="false">"27-38"</f>
        <v>27-38</v>
      </c>
      <c r="D196" s="0" t="s">
        <v>9</v>
      </c>
      <c r="E196" s="0" t="str">
        <f aca="false">"90-101"</f>
        <v>90-101</v>
      </c>
      <c r="F196" s="0" t="s">
        <v>1855</v>
      </c>
      <c r="G196" s="0" t="s">
        <v>9</v>
      </c>
      <c r="H196" s="0" t="str">
        <f aca="false">"458-469"</f>
        <v>458-469</v>
      </c>
      <c r="I196" s="0" t="s">
        <v>9</v>
      </c>
      <c r="J196" s="0" t="str">
        <f aca="false">"411-422"</f>
        <v>411-422</v>
      </c>
      <c r="K196" s="0" t="str">
        <f aca="false">"1.14"</f>
        <v>1.14</v>
      </c>
      <c r="L196" s="0" t="str">
        <f aca="false">"11.63"</f>
        <v>11.63</v>
      </c>
      <c r="M196" s="0" t="str">
        <f aca="false">"-125.9"</f>
        <v>-125.9</v>
      </c>
    </row>
    <row r="197" customFormat="false" ht="12.8" hidden="false" customHeight="false" outlineLevel="0" collapsed="false">
      <c r="A197" s="0" t="s">
        <v>1692</v>
      </c>
      <c r="B197" s="0" t="s">
        <v>9</v>
      </c>
      <c r="C197" s="0" t="str">
        <f aca="false">"29-40"</f>
        <v>29-40</v>
      </c>
      <c r="D197" s="0" t="s">
        <v>9</v>
      </c>
      <c r="E197" s="0" t="str">
        <f aca="false">"88-99"</f>
        <v>88-99</v>
      </c>
      <c r="F197" s="0" t="s">
        <v>1856</v>
      </c>
      <c r="G197" s="0" t="s">
        <v>9</v>
      </c>
      <c r="H197" s="0" t="str">
        <f aca="false">"1268-1279"</f>
        <v>1268-1279</v>
      </c>
      <c r="I197" s="0" t="s">
        <v>9</v>
      </c>
      <c r="J197" s="0" t="str">
        <f aca="false">"1252-1263"</f>
        <v>1252-1263</v>
      </c>
      <c r="K197" s="0" t="str">
        <f aca="false">"0.93"</f>
        <v>0.93</v>
      </c>
      <c r="L197" s="0" t="str">
        <f aca="false">"11.92"</f>
        <v>11.92</v>
      </c>
      <c r="M197" s="0" t="str">
        <f aca="false">"-139.5"</f>
        <v>-139.5</v>
      </c>
    </row>
    <row r="198" customFormat="false" ht="12.8" hidden="false" customHeight="false" outlineLevel="0" collapsed="false">
      <c r="A198" s="0" t="s">
        <v>1692</v>
      </c>
      <c r="B198" s="0" t="s">
        <v>9</v>
      </c>
      <c r="C198" s="0" t="str">
        <f aca="false">"26-37"</f>
        <v>26-37</v>
      </c>
      <c r="D198" s="0" t="s">
        <v>9</v>
      </c>
      <c r="E198" s="0" t="str">
        <f aca="false">"93-104"</f>
        <v>93-104</v>
      </c>
      <c r="F198" s="0" t="s">
        <v>1857</v>
      </c>
      <c r="G198" s="0" t="s">
        <v>9</v>
      </c>
      <c r="H198" s="0" t="str">
        <f aca="false">"100-111"</f>
        <v>100-111</v>
      </c>
      <c r="I198" s="0" t="s">
        <v>9</v>
      </c>
      <c r="J198" s="0" t="str">
        <f aca="false">"72-83"</f>
        <v>72-83</v>
      </c>
      <c r="K198" s="0" t="str">
        <f aca="false">"1.06"</f>
        <v>1.06</v>
      </c>
      <c r="L198" s="0" t="str">
        <f aca="false">"9.43"</f>
        <v>9.43</v>
      </c>
      <c r="M198" s="0" t="str">
        <f aca="false">"-133.5"</f>
        <v>-133.5</v>
      </c>
    </row>
    <row r="199" customFormat="false" ht="12.8" hidden="false" customHeight="false" outlineLevel="0" collapsed="false">
      <c r="A199" s="0" t="s">
        <v>1692</v>
      </c>
      <c r="B199" s="0" t="s">
        <v>9</v>
      </c>
      <c r="C199" s="0" t="str">
        <f aca="false">"27-38"</f>
        <v>27-38</v>
      </c>
      <c r="D199" s="0" t="s">
        <v>9</v>
      </c>
      <c r="E199" s="0" t="str">
        <f aca="false">"90-101"</f>
        <v>90-101</v>
      </c>
      <c r="F199" s="0" t="s">
        <v>1858</v>
      </c>
      <c r="G199" s="0" t="s">
        <v>9</v>
      </c>
      <c r="H199" s="0" t="str">
        <f aca="false">"75-86"</f>
        <v>75-86</v>
      </c>
      <c r="I199" s="0" t="s">
        <v>9</v>
      </c>
      <c r="J199" s="0" t="str">
        <f aca="false">"21-32"</f>
        <v>21-32</v>
      </c>
      <c r="K199" s="0" t="str">
        <f aca="false">"1.09"</f>
        <v>1.09</v>
      </c>
      <c r="L199" s="0" t="str">
        <f aca="false">"12.41"</f>
        <v>12.41</v>
      </c>
      <c r="M199" s="0" t="str">
        <f aca="false">"-133.2"</f>
        <v>-133.2</v>
      </c>
    </row>
    <row r="200" customFormat="false" ht="12.8" hidden="false" customHeight="false" outlineLevel="0" collapsed="false">
      <c r="A200" s="0" t="s">
        <v>1692</v>
      </c>
      <c r="B200" s="0" t="s">
        <v>9</v>
      </c>
      <c r="C200" s="0" t="str">
        <f aca="false">"25-36"</f>
        <v>25-36</v>
      </c>
      <c r="D200" s="0" t="s">
        <v>9</v>
      </c>
      <c r="E200" s="0" t="str">
        <f aca="false">"90-101"</f>
        <v>90-101</v>
      </c>
      <c r="F200" s="0" t="s">
        <v>1859</v>
      </c>
      <c r="G200" s="0" t="s">
        <v>9</v>
      </c>
      <c r="H200" s="0" t="str">
        <f aca="false">"542-553"</f>
        <v>542-553</v>
      </c>
      <c r="I200" s="0" t="s">
        <v>9</v>
      </c>
      <c r="J200" s="0" t="str">
        <f aca="false">"479-490"</f>
        <v>479-490</v>
      </c>
      <c r="K200" s="0" t="str">
        <f aca="false">"1.04"</f>
        <v>1.04</v>
      </c>
      <c r="L200" s="0" t="str">
        <f aca="false">"12.77"</f>
        <v>12.77</v>
      </c>
      <c r="M200" s="0" t="str">
        <f aca="false">"-130.1"</f>
        <v>-130.1</v>
      </c>
    </row>
    <row r="201" customFormat="false" ht="12.8" hidden="false" customHeight="false" outlineLevel="0" collapsed="false">
      <c r="A201" s="0" t="s">
        <v>1692</v>
      </c>
      <c r="B201" s="0" t="s">
        <v>9</v>
      </c>
      <c r="C201" s="0" t="str">
        <f aca="false">"25-36"</f>
        <v>25-36</v>
      </c>
      <c r="D201" s="0" t="s">
        <v>9</v>
      </c>
      <c r="E201" s="0" t="str">
        <f aca="false">"90-101"</f>
        <v>90-101</v>
      </c>
      <c r="F201" s="0" t="s">
        <v>1860</v>
      </c>
      <c r="G201" s="0" t="s">
        <v>9</v>
      </c>
      <c r="H201" s="0" t="str">
        <f aca="false">"494-505"</f>
        <v>494-505</v>
      </c>
      <c r="I201" s="0" t="s">
        <v>9</v>
      </c>
      <c r="J201" s="0" t="str">
        <f aca="false">"468-479"</f>
        <v>468-479</v>
      </c>
      <c r="K201" s="0" t="str">
        <f aca="false">"0.65"</f>
        <v>0.65</v>
      </c>
      <c r="L201" s="0" t="str">
        <f aca="false">"12.84"</f>
        <v>12.84</v>
      </c>
      <c r="M201" s="0" t="str">
        <f aca="false">"-147.6"</f>
        <v>-147.6</v>
      </c>
    </row>
    <row r="202" customFormat="false" ht="12.8" hidden="false" customHeight="false" outlineLevel="0" collapsed="false">
      <c r="A202" s="0" t="s">
        <v>1692</v>
      </c>
      <c r="B202" s="0" t="s">
        <v>9</v>
      </c>
      <c r="C202" s="0" t="str">
        <f aca="false">"26-37"</f>
        <v>26-37</v>
      </c>
      <c r="D202" s="0" t="s">
        <v>9</v>
      </c>
      <c r="E202" s="0" t="str">
        <f aca="false">"90-101"</f>
        <v>90-101</v>
      </c>
      <c r="F202" s="0" t="s">
        <v>1861</v>
      </c>
      <c r="G202" s="0" t="s">
        <v>9</v>
      </c>
      <c r="H202" s="0" t="str">
        <f aca="false">"452-463"</f>
        <v>452-463</v>
      </c>
      <c r="I202" s="0" t="s">
        <v>9</v>
      </c>
      <c r="J202" s="0" t="str">
        <f aca="false">"395-406"</f>
        <v>395-406</v>
      </c>
      <c r="K202" s="0" t="str">
        <f aca="false">"0.83"</f>
        <v>0.83</v>
      </c>
      <c r="L202" s="0" t="str">
        <f aca="false">"12.30"</f>
        <v>12.30</v>
      </c>
      <c r="M202" s="0" t="str">
        <f aca="false">"-141.6"</f>
        <v>-141.6</v>
      </c>
    </row>
    <row r="203" customFormat="false" ht="12.8" hidden="false" customHeight="false" outlineLevel="0" collapsed="false">
      <c r="A203" s="0" t="s">
        <v>1692</v>
      </c>
      <c r="B203" s="0" t="s">
        <v>9</v>
      </c>
      <c r="C203" s="0" t="str">
        <f aca="false">"25-36"</f>
        <v>25-36</v>
      </c>
      <c r="D203" s="0" t="s">
        <v>9</v>
      </c>
      <c r="E203" s="0" t="str">
        <f aca="false">"90-101"</f>
        <v>90-101</v>
      </c>
      <c r="F203" s="0" t="s">
        <v>1862</v>
      </c>
      <c r="G203" s="0" t="s">
        <v>9</v>
      </c>
      <c r="H203" s="0" t="str">
        <f aca="false">"376-387"</f>
        <v>376-387</v>
      </c>
      <c r="I203" s="0" t="s">
        <v>9</v>
      </c>
      <c r="J203" s="0" t="str">
        <f aca="false">"332-343"</f>
        <v>332-343</v>
      </c>
      <c r="K203" s="0" t="str">
        <f aca="false">"0.84"</f>
        <v>0.84</v>
      </c>
      <c r="L203" s="0" t="str">
        <f aca="false">"12.18"</f>
        <v>12.18</v>
      </c>
      <c r="M203" s="0" t="str">
        <f aca="false">"-136.9"</f>
        <v>-136.9</v>
      </c>
    </row>
    <row r="204" customFormat="false" ht="12.8" hidden="false" customHeight="false" outlineLevel="0" collapsed="false">
      <c r="A204" s="0" t="s">
        <v>1692</v>
      </c>
      <c r="B204" s="0" t="s">
        <v>9</v>
      </c>
      <c r="C204" s="0" t="str">
        <f aca="false">"25-36"</f>
        <v>25-36</v>
      </c>
      <c r="D204" s="0" t="s">
        <v>9</v>
      </c>
      <c r="E204" s="0" t="str">
        <f aca="false">"90-101"</f>
        <v>90-101</v>
      </c>
      <c r="F204" s="0" t="s">
        <v>1863</v>
      </c>
      <c r="G204" s="0" t="s">
        <v>9</v>
      </c>
      <c r="H204" s="0" t="str">
        <f aca="false">"265-276"</f>
        <v>265-276</v>
      </c>
      <c r="I204" s="0" t="s">
        <v>9</v>
      </c>
      <c r="J204" s="0" t="str">
        <f aca="false">"238-249"</f>
        <v>238-249</v>
      </c>
      <c r="K204" s="0" t="str">
        <f aca="false">"1.15"</f>
        <v>1.15</v>
      </c>
      <c r="L204" s="0" t="str">
        <f aca="false">"12.37"</f>
        <v>12.37</v>
      </c>
      <c r="M204" s="0" t="str">
        <f aca="false">"-129.3"</f>
        <v>-129.3</v>
      </c>
    </row>
    <row r="205" customFormat="false" ht="12.8" hidden="false" customHeight="false" outlineLevel="0" collapsed="false">
      <c r="A205" s="0" t="s">
        <v>1692</v>
      </c>
      <c r="B205" s="0" t="s">
        <v>9</v>
      </c>
      <c r="C205" s="0" t="str">
        <f aca="false">"23-34"</f>
        <v>23-34</v>
      </c>
      <c r="D205" s="0" t="s">
        <v>9</v>
      </c>
      <c r="E205" s="0" t="str">
        <f aca="false">"91-102"</f>
        <v>91-102</v>
      </c>
      <c r="F205" s="0" t="s">
        <v>1864</v>
      </c>
      <c r="G205" s="0" t="s">
        <v>9</v>
      </c>
      <c r="H205" s="0" t="str">
        <f aca="false">"30-41"</f>
        <v>30-41</v>
      </c>
      <c r="I205" s="0" t="s">
        <v>9</v>
      </c>
      <c r="J205" s="0" t="str">
        <f aca="false">"79-90"</f>
        <v>79-90</v>
      </c>
      <c r="K205" s="0" t="str">
        <f aca="false">"0.96"</f>
        <v>0.96</v>
      </c>
      <c r="L205" s="0" t="str">
        <f aca="false">"13.80"</f>
        <v>13.80</v>
      </c>
      <c r="M205" s="0" t="str">
        <f aca="false">"-138.4"</f>
        <v>-138.4</v>
      </c>
    </row>
    <row r="206" customFormat="false" ht="12.8" hidden="false" customHeight="false" outlineLevel="0" collapsed="false">
      <c r="A206" s="0" t="s">
        <v>1692</v>
      </c>
      <c r="B206" s="0" t="s">
        <v>9</v>
      </c>
      <c r="C206" s="0" t="str">
        <f aca="false">"27-38"</f>
        <v>27-38</v>
      </c>
      <c r="D206" s="0" t="s">
        <v>9</v>
      </c>
      <c r="E206" s="0" t="str">
        <f aca="false">"95-106"</f>
        <v>95-106</v>
      </c>
      <c r="F206" s="0" t="s">
        <v>1865</v>
      </c>
      <c r="G206" s="0" t="s">
        <v>13</v>
      </c>
      <c r="H206" s="0" t="str">
        <f aca="false">"12-23"</f>
        <v>12-23</v>
      </c>
      <c r="I206" s="0" t="s">
        <v>13</v>
      </c>
      <c r="J206" s="0" t="str">
        <f aca="false">"99-110"</f>
        <v>99-110</v>
      </c>
      <c r="K206" s="0" t="str">
        <f aca="false">"1.21"</f>
        <v>1.21</v>
      </c>
      <c r="L206" s="0" t="str">
        <f aca="false">"11.13"</f>
        <v>11.13</v>
      </c>
      <c r="M206" s="0" t="str">
        <f aca="false">"-146.5"</f>
        <v>-146.5</v>
      </c>
    </row>
    <row r="207" customFormat="false" ht="12.8" hidden="false" customHeight="false" outlineLevel="0" collapsed="false">
      <c r="A207" s="0" t="s">
        <v>1692</v>
      </c>
      <c r="B207" s="0" t="s">
        <v>9</v>
      </c>
      <c r="C207" s="0" t="str">
        <f aca="false">"30-41"</f>
        <v>30-41</v>
      </c>
      <c r="D207" s="0" t="s">
        <v>9</v>
      </c>
      <c r="E207" s="0" t="str">
        <f aca="false">"90-101"</f>
        <v>90-101</v>
      </c>
      <c r="F207" s="0" t="s">
        <v>1866</v>
      </c>
      <c r="G207" s="0" t="s">
        <v>13</v>
      </c>
      <c r="H207" s="0" t="str">
        <f aca="false">"92-103"</f>
        <v>92-103</v>
      </c>
      <c r="I207" s="0" t="s">
        <v>13</v>
      </c>
      <c r="J207" s="0" t="str">
        <f aca="false">"9-20"</f>
        <v>9-20</v>
      </c>
      <c r="K207" s="0" t="str">
        <f aca="false">"1.23"</f>
        <v>1.23</v>
      </c>
      <c r="L207" s="0" t="str">
        <f aca="false">"12.93"</f>
        <v>12.93</v>
      </c>
      <c r="M207" s="0" t="str">
        <f aca="false">"-135.2"</f>
        <v>-135.2</v>
      </c>
    </row>
    <row r="208" customFormat="false" ht="12.8" hidden="false" customHeight="false" outlineLevel="0" collapsed="false">
      <c r="A208" s="0" t="s">
        <v>1692</v>
      </c>
      <c r="B208" s="0" t="s">
        <v>9</v>
      </c>
      <c r="C208" s="0" t="str">
        <f aca="false">"26-37"</f>
        <v>26-37</v>
      </c>
      <c r="D208" s="0" t="s">
        <v>9</v>
      </c>
      <c r="E208" s="0" t="str">
        <f aca="false">"94-105"</f>
        <v>94-105</v>
      </c>
      <c r="F208" s="0" t="s">
        <v>1867</v>
      </c>
      <c r="G208" s="0" t="s">
        <v>13</v>
      </c>
      <c r="H208" s="0" t="str">
        <f aca="false">"620-631"</f>
        <v>620-631</v>
      </c>
      <c r="I208" s="0" t="s">
        <v>13</v>
      </c>
      <c r="J208" s="0" t="str">
        <f aca="false">"602-613"</f>
        <v>602-613</v>
      </c>
      <c r="K208" s="0" t="str">
        <f aca="false">"1.20"</f>
        <v>1.20</v>
      </c>
      <c r="L208" s="0" t="str">
        <f aca="false">"12.17"</f>
        <v>12.17</v>
      </c>
      <c r="M208" s="0" t="str">
        <f aca="false">"-154.6"</f>
        <v>-154.6</v>
      </c>
    </row>
    <row r="209" customFormat="false" ht="12.8" hidden="false" customHeight="false" outlineLevel="0" collapsed="false">
      <c r="A209" s="0" t="s">
        <v>1692</v>
      </c>
      <c r="B209" s="0" t="s">
        <v>9</v>
      </c>
      <c r="C209" s="0" t="str">
        <f aca="false">"30-41"</f>
        <v>30-41</v>
      </c>
      <c r="D209" s="0" t="s">
        <v>9</v>
      </c>
      <c r="E209" s="0" t="str">
        <f aca="false">"89-100"</f>
        <v>89-100</v>
      </c>
      <c r="F209" s="0" t="s">
        <v>1868</v>
      </c>
      <c r="G209" s="0" t="s">
        <v>9</v>
      </c>
      <c r="H209" s="0" t="str">
        <f aca="false">"208-219"</f>
        <v>208-219</v>
      </c>
      <c r="I209" s="0" t="s">
        <v>13</v>
      </c>
      <c r="J209" s="0" t="str">
        <f aca="false">"206-217"</f>
        <v>206-217</v>
      </c>
      <c r="K209" s="0" t="str">
        <f aca="false">"1.07"</f>
        <v>1.07</v>
      </c>
      <c r="L209" s="0" t="str">
        <f aca="false">"12.51"</f>
        <v>12.51</v>
      </c>
      <c r="M209" s="0" t="str">
        <f aca="false">"-156.4"</f>
        <v>-156.4</v>
      </c>
    </row>
    <row r="210" customFormat="false" ht="12.8" hidden="false" customHeight="false" outlineLevel="0" collapsed="false">
      <c r="A210" s="0" t="s">
        <v>1692</v>
      </c>
      <c r="B210" s="0" t="s">
        <v>9</v>
      </c>
      <c r="C210" s="0" t="str">
        <f aca="false">"25-36"</f>
        <v>25-36</v>
      </c>
      <c r="D210" s="0" t="s">
        <v>9</v>
      </c>
      <c r="E210" s="0" t="str">
        <f aca="false">"94-105"</f>
        <v>94-105</v>
      </c>
      <c r="F210" s="0" t="s">
        <v>1869</v>
      </c>
      <c r="G210" s="0" t="s">
        <v>9</v>
      </c>
      <c r="H210" s="0" t="str">
        <f aca="false">"55-66"</f>
        <v>55-66</v>
      </c>
      <c r="I210" s="0" t="s">
        <v>9</v>
      </c>
      <c r="J210" s="0" t="str">
        <f aca="false">"84-95"</f>
        <v>84-95</v>
      </c>
      <c r="K210" s="0" t="str">
        <f aca="false">"1.20"</f>
        <v>1.20</v>
      </c>
      <c r="L210" s="0" t="str">
        <f aca="false">"10.14"</f>
        <v>10.14</v>
      </c>
      <c r="M210" s="0" t="str">
        <f aca="false">"-143.0"</f>
        <v>-143.0</v>
      </c>
    </row>
    <row r="211" customFormat="false" ht="12.8" hidden="false" customHeight="false" outlineLevel="0" collapsed="false">
      <c r="A211" s="0" t="s">
        <v>1692</v>
      </c>
      <c r="B211" s="0" t="s">
        <v>9</v>
      </c>
      <c r="C211" s="0" t="str">
        <f aca="false">"28-39"</f>
        <v>28-39</v>
      </c>
      <c r="D211" s="0" t="s">
        <v>9</v>
      </c>
      <c r="E211" s="0" t="str">
        <f aca="false">"86-97"</f>
        <v>86-97</v>
      </c>
      <c r="F211" s="0" t="s">
        <v>1870</v>
      </c>
      <c r="G211" s="0" t="s">
        <v>9</v>
      </c>
      <c r="H211" s="0" t="str">
        <f aca="false">"408-419"</f>
        <v>408-419</v>
      </c>
      <c r="I211" s="0" t="s">
        <v>9</v>
      </c>
      <c r="J211" s="0" t="str">
        <f aca="false">"388-399"</f>
        <v>388-399</v>
      </c>
      <c r="K211" s="0" t="str">
        <f aca="false">"1.18"</f>
        <v>1.18</v>
      </c>
      <c r="L211" s="0" t="str">
        <f aca="false">"14.06"</f>
        <v>14.06</v>
      </c>
      <c r="M211" s="0" t="str">
        <f aca="false">"-149.3"</f>
        <v>-149.3</v>
      </c>
    </row>
    <row r="212" customFormat="false" ht="12.8" hidden="false" customHeight="false" outlineLevel="0" collapsed="false">
      <c r="A212" s="0" t="s">
        <v>1692</v>
      </c>
      <c r="B212" s="0" t="s">
        <v>9</v>
      </c>
      <c r="C212" s="0" t="str">
        <f aca="false">"28-39"</f>
        <v>28-39</v>
      </c>
      <c r="D212" s="0" t="s">
        <v>9</v>
      </c>
      <c r="E212" s="0" t="str">
        <f aca="false">"90-101"</f>
        <v>90-101</v>
      </c>
      <c r="F212" s="0" t="s">
        <v>1871</v>
      </c>
      <c r="G212" s="0" t="s">
        <v>9</v>
      </c>
      <c r="H212" s="0" t="str">
        <f aca="false">"101-112"</f>
        <v>101-112</v>
      </c>
      <c r="I212" s="0" t="s">
        <v>9</v>
      </c>
      <c r="J212" s="0" t="str">
        <f aca="false">"73-84"</f>
        <v>73-84</v>
      </c>
      <c r="K212" s="0" t="str">
        <f aca="false">"1.11"</f>
        <v>1.11</v>
      </c>
      <c r="L212" s="0" t="str">
        <f aca="false">"10.30"</f>
        <v>10.30</v>
      </c>
      <c r="M212" s="0" t="str">
        <f aca="false">"-151.6"</f>
        <v>-151.6</v>
      </c>
    </row>
    <row r="213" customFormat="false" ht="12.8" hidden="false" customHeight="false" outlineLevel="0" collapsed="false">
      <c r="A213" s="0" t="s">
        <v>1692</v>
      </c>
      <c r="B213" s="0" t="s">
        <v>9</v>
      </c>
      <c r="C213" s="0" t="str">
        <f aca="false">"28-39"</f>
        <v>28-39</v>
      </c>
      <c r="D213" s="0" t="s">
        <v>9</v>
      </c>
      <c r="E213" s="0" t="str">
        <f aca="false">"89-100"</f>
        <v>89-100</v>
      </c>
      <c r="F213" s="0" t="s">
        <v>1872</v>
      </c>
      <c r="G213" s="0" t="s">
        <v>9</v>
      </c>
      <c r="H213" s="0" t="str">
        <f aca="false">"245-256"</f>
        <v>245-256</v>
      </c>
      <c r="I213" s="0" t="s">
        <v>9</v>
      </c>
      <c r="J213" s="0" t="str">
        <f aca="false">"215-226"</f>
        <v>215-226</v>
      </c>
      <c r="K213" s="0" t="str">
        <f aca="false">"0.88"</f>
        <v>0.88</v>
      </c>
      <c r="L213" s="0" t="str">
        <f aca="false">"10.97"</f>
        <v>10.97</v>
      </c>
      <c r="M213" s="0" t="str">
        <f aca="false">"-133.6"</f>
        <v>-133.6</v>
      </c>
    </row>
    <row r="214" customFormat="false" ht="12.8" hidden="false" customHeight="false" outlineLevel="0" collapsed="false">
      <c r="A214" s="0" t="s">
        <v>1692</v>
      </c>
      <c r="B214" s="0" t="s">
        <v>9</v>
      </c>
      <c r="C214" s="0" t="str">
        <f aca="false">"28-39"</f>
        <v>28-39</v>
      </c>
      <c r="D214" s="0" t="s">
        <v>9</v>
      </c>
      <c r="E214" s="0" t="str">
        <f aca="false">"89-100"</f>
        <v>89-100</v>
      </c>
      <c r="F214" s="0" t="s">
        <v>1873</v>
      </c>
      <c r="G214" s="0" t="s">
        <v>13</v>
      </c>
      <c r="H214" s="0" t="str">
        <f aca="false">"31-42"</f>
        <v>31-42</v>
      </c>
      <c r="I214" s="0" t="s">
        <v>13</v>
      </c>
      <c r="J214" s="0" t="str">
        <f aca="false">"11-22"</f>
        <v>11-22</v>
      </c>
      <c r="K214" s="0" t="str">
        <f aca="false">"1.01"</f>
        <v>1.01</v>
      </c>
      <c r="L214" s="0" t="str">
        <f aca="false">"11.47"</f>
        <v>11.47</v>
      </c>
      <c r="M214" s="0" t="str">
        <f aca="false">"-142.6"</f>
        <v>-142.6</v>
      </c>
    </row>
    <row r="215" customFormat="false" ht="12.8" hidden="false" customHeight="false" outlineLevel="0" collapsed="false">
      <c r="A215" s="0" t="s">
        <v>1692</v>
      </c>
      <c r="B215" s="0" t="s">
        <v>9</v>
      </c>
      <c r="C215" s="0" t="str">
        <f aca="false">"26-37"</f>
        <v>26-37</v>
      </c>
      <c r="D215" s="0" t="s">
        <v>9</v>
      </c>
      <c r="E215" s="0" t="str">
        <f aca="false">"89-100"</f>
        <v>89-100</v>
      </c>
      <c r="F215" s="0" t="s">
        <v>1874</v>
      </c>
      <c r="G215" s="0" t="s">
        <v>9</v>
      </c>
      <c r="H215" s="0" t="str">
        <f aca="false">"28-39"</f>
        <v>28-39</v>
      </c>
      <c r="I215" s="0" t="s">
        <v>9</v>
      </c>
      <c r="J215" s="0" t="str">
        <f aca="false">"386-397"</f>
        <v>386-397</v>
      </c>
      <c r="K215" s="0" t="str">
        <f aca="false">"1.19"</f>
        <v>1.19</v>
      </c>
      <c r="L215" s="0" t="str">
        <f aca="false">"13.23"</f>
        <v>13.23</v>
      </c>
      <c r="M215" s="0" t="str">
        <f aca="false">"-137.8"</f>
        <v>-137.8</v>
      </c>
    </row>
    <row r="216" customFormat="false" ht="12.8" hidden="false" customHeight="false" outlineLevel="0" collapsed="false">
      <c r="A216" s="0" t="s">
        <v>1692</v>
      </c>
      <c r="B216" s="0" t="s">
        <v>9</v>
      </c>
      <c r="C216" s="0" t="str">
        <f aca="false">"27-38"</f>
        <v>27-38</v>
      </c>
      <c r="D216" s="0" t="s">
        <v>9</v>
      </c>
      <c r="E216" s="0" t="str">
        <f aca="false">"95-106"</f>
        <v>95-106</v>
      </c>
      <c r="F216" s="0" t="s">
        <v>1875</v>
      </c>
      <c r="G216" s="0" t="s">
        <v>13</v>
      </c>
      <c r="H216" s="0" t="str">
        <f aca="false">"575-586"</f>
        <v>575-586</v>
      </c>
      <c r="I216" s="0" t="s">
        <v>13</v>
      </c>
      <c r="J216" s="0" t="str">
        <f aca="false">"860-871"</f>
        <v>860-871</v>
      </c>
      <c r="K216" s="0" t="str">
        <f aca="false">"1.15"</f>
        <v>1.15</v>
      </c>
      <c r="L216" s="0" t="str">
        <f aca="false">"13.09"</f>
        <v>13.09</v>
      </c>
      <c r="M216" s="0" t="str">
        <f aca="false">"-135.4"</f>
        <v>-135.4</v>
      </c>
    </row>
    <row r="217" customFormat="false" ht="12.8" hidden="false" customHeight="false" outlineLevel="0" collapsed="false">
      <c r="A217" s="0" t="s">
        <v>1692</v>
      </c>
      <c r="B217" s="0" t="s">
        <v>9</v>
      </c>
      <c r="C217" s="0" t="str">
        <f aca="false">"23-34"</f>
        <v>23-34</v>
      </c>
      <c r="D217" s="0" t="s">
        <v>9</v>
      </c>
      <c r="E217" s="0" t="str">
        <f aca="false">"90-101"</f>
        <v>90-101</v>
      </c>
      <c r="F217" s="0" t="s">
        <v>1876</v>
      </c>
      <c r="G217" s="0" t="s">
        <v>9</v>
      </c>
      <c r="H217" s="0" t="str">
        <f aca="false">"16-27"</f>
        <v>16-27</v>
      </c>
      <c r="I217" s="0" t="s">
        <v>13</v>
      </c>
      <c r="J217" s="0" t="str">
        <f aca="false">"15-26"</f>
        <v>15-26</v>
      </c>
      <c r="K217" s="0" t="str">
        <f aca="false">"1.09"</f>
        <v>1.09</v>
      </c>
      <c r="L217" s="0" t="str">
        <f aca="false">"14.42"</f>
        <v>14.42</v>
      </c>
      <c r="M217" s="0" t="str">
        <f aca="false">"-144.7"</f>
        <v>-144.7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65816326530612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9489795918367"/>
    <col collapsed="false" hidden="false" max="7" min="7" style="0" width="6.95408163265306"/>
    <col collapsed="false" hidden="false" max="8" min="8" style="0" width="9.65816326530612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1877</v>
      </c>
      <c r="B2" s="0" t="s">
        <v>13</v>
      </c>
      <c r="C2" s="0" t="str">
        <f aca="false">"209-220"</f>
        <v>209-220</v>
      </c>
      <c r="D2" s="0" t="s">
        <v>24</v>
      </c>
      <c r="E2" s="0" t="str">
        <f aca="false">"156-167"</f>
        <v>156-167</v>
      </c>
      <c r="F2" s="0" t="s">
        <v>783</v>
      </c>
      <c r="G2" s="0" t="s">
        <v>9</v>
      </c>
      <c r="H2" s="0" t="str">
        <f aca="false">"316-327"</f>
        <v>316-327</v>
      </c>
      <c r="I2" s="0" t="s">
        <v>9</v>
      </c>
      <c r="J2" s="0" t="str">
        <f aca="false">"233-244"</f>
        <v>233-244</v>
      </c>
      <c r="K2" s="0" t="str">
        <f aca="false">"1.24"</f>
        <v>1.24</v>
      </c>
      <c r="L2" s="0" t="str">
        <f aca="false">"10.82"</f>
        <v>10.82</v>
      </c>
      <c r="M2" s="0" t="str">
        <f aca="false">"34.1"</f>
        <v>34.1</v>
      </c>
    </row>
    <row r="3" customFormat="false" ht="12.8" hidden="false" customHeight="false" outlineLevel="0" collapsed="false">
      <c r="A3" s="0" t="s">
        <v>1877</v>
      </c>
      <c r="B3" s="0" t="s">
        <v>13</v>
      </c>
      <c r="C3" s="0" t="str">
        <f aca="false">"209-220"</f>
        <v>209-220</v>
      </c>
      <c r="D3" s="0" t="s">
        <v>24</v>
      </c>
      <c r="E3" s="0" t="str">
        <f aca="false">"156-167"</f>
        <v>156-167</v>
      </c>
      <c r="F3" s="0" t="s">
        <v>796</v>
      </c>
      <c r="G3" s="0" t="s">
        <v>9</v>
      </c>
      <c r="H3" s="0" t="str">
        <f aca="false">"1741-1752"</f>
        <v>1741-1752</v>
      </c>
      <c r="I3" s="0" t="s">
        <v>9</v>
      </c>
      <c r="J3" s="0" t="str">
        <f aca="false">"1667-1678"</f>
        <v>1667-1678</v>
      </c>
      <c r="K3" s="0" t="str">
        <f aca="false">"1.16"</f>
        <v>1.16</v>
      </c>
      <c r="L3" s="0" t="str">
        <f aca="false">"11.50"</f>
        <v>11.50</v>
      </c>
      <c r="M3" s="0" t="str">
        <f aca="false">"29.8"</f>
        <v>29.8</v>
      </c>
    </row>
    <row r="4" customFormat="false" ht="12.8" hidden="false" customHeight="false" outlineLevel="0" collapsed="false">
      <c r="A4" s="0" t="s">
        <v>1877</v>
      </c>
      <c r="B4" s="0" t="s">
        <v>13</v>
      </c>
      <c r="C4" s="0" t="str">
        <f aca="false">"209-220"</f>
        <v>209-220</v>
      </c>
      <c r="D4" s="0" t="s">
        <v>24</v>
      </c>
      <c r="E4" s="0" t="str">
        <f aca="false">"156-167"</f>
        <v>156-167</v>
      </c>
      <c r="F4" s="0" t="s">
        <v>1878</v>
      </c>
      <c r="G4" s="0" t="s">
        <v>9</v>
      </c>
      <c r="H4" s="0" t="str">
        <f aca="false">"412-423"</f>
        <v>412-423</v>
      </c>
      <c r="I4" s="0" t="s">
        <v>9</v>
      </c>
      <c r="J4" s="0" t="str">
        <f aca="false">"269-280"</f>
        <v>269-280</v>
      </c>
      <c r="K4" s="0" t="str">
        <f aca="false">"1.17"</f>
        <v>1.17</v>
      </c>
      <c r="L4" s="0" t="str">
        <f aca="false">"11.62"</f>
        <v>11.62</v>
      </c>
      <c r="M4" s="0" t="str">
        <f aca="false">"30.5"</f>
        <v>30.5</v>
      </c>
    </row>
    <row r="5" customFormat="false" ht="12.8" hidden="false" customHeight="false" outlineLevel="0" collapsed="false">
      <c r="A5" s="0" t="s">
        <v>1877</v>
      </c>
      <c r="B5" s="0" t="s">
        <v>13</v>
      </c>
      <c r="C5" s="0" t="str">
        <f aca="false">"209-220"</f>
        <v>209-220</v>
      </c>
      <c r="D5" s="0" t="s">
        <v>24</v>
      </c>
      <c r="E5" s="0" t="str">
        <f aca="false">"156-167"</f>
        <v>156-167</v>
      </c>
      <c r="F5" s="0" t="s">
        <v>1879</v>
      </c>
      <c r="G5" s="0" t="s">
        <v>24</v>
      </c>
      <c r="H5" s="0" t="str">
        <f aca="false">"337-348"</f>
        <v>337-348</v>
      </c>
      <c r="I5" s="0" t="s">
        <v>24</v>
      </c>
      <c r="J5" s="0" t="str">
        <f aca="false">"255-266"</f>
        <v>255-266</v>
      </c>
      <c r="K5" s="0" t="str">
        <f aca="false">"0.83"</f>
        <v>0.83</v>
      </c>
      <c r="L5" s="0" t="str">
        <f aca="false">"12.02"</f>
        <v>12.02</v>
      </c>
      <c r="M5" s="0" t="str">
        <f aca="false">"33.8"</f>
        <v>33.8</v>
      </c>
    </row>
    <row r="6" customFormat="false" ht="12.8" hidden="false" customHeight="false" outlineLevel="0" collapsed="false">
      <c r="A6" s="0" t="s">
        <v>1877</v>
      </c>
      <c r="B6" s="0" t="s">
        <v>13</v>
      </c>
      <c r="C6" s="0" t="str">
        <f aca="false">"209-220"</f>
        <v>209-220</v>
      </c>
      <c r="D6" s="0" t="s">
        <v>24</v>
      </c>
      <c r="E6" s="0" t="str">
        <f aca="false">"157-168"</f>
        <v>157-168</v>
      </c>
      <c r="F6" s="0" t="s">
        <v>1880</v>
      </c>
      <c r="G6" s="0" t="s">
        <v>9</v>
      </c>
      <c r="H6" s="0" t="str">
        <f aca="false">"69-80"</f>
        <v>69-80</v>
      </c>
      <c r="I6" s="0" t="s">
        <v>9</v>
      </c>
      <c r="J6" s="0" t="str">
        <f aca="false">"115-126"</f>
        <v>115-126</v>
      </c>
      <c r="K6" s="0" t="str">
        <f aca="false">"0.81"</f>
        <v>0.81</v>
      </c>
      <c r="L6" s="0" t="str">
        <f aca="false">"12.24"</f>
        <v>12.24</v>
      </c>
      <c r="M6" s="0" t="str">
        <f aca="false">"44.7"</f>
        <v>44.7</v>
      </c>
    </row>
    <row r="7" customFormat="false" ht="12.8" hidden="false" customHeight="false" outlineLevel="0" collapsed="false">
      <c r="A7" s="0" t="s">
        <v>1877</v>
      </c>
      <c r="B7" s="0" t="s">
        <v>13</v>
      </c>
      <c r="C7" s="0" t="str">
        <f aca="false">"209-220"</f>
        <v>209-220</v>
      </c>
      <c r="D7" s="0" t="s">
        <v>24</v>
      </c>
      <c r="E7" s="0" t="str">
        <f aca="false">"156-167"</f>
        <v>156-167</v>
      </c>
      <c r="F7" s="0" t="s">
        <v>819</v>
      </c>
      <c r="G7" s="0" t="s">
        <v>9</v>
      </c>
      <c r="H7" s="0" t="str">
        <f aca="false">"30-41"</f>
        <v>30-41</v>
      </c>
      <c r="I7" s="0" t="s">
        <v>120</v>
      </c>
      <c r="J7" s="0" t="str">
        <f aca="false">"29-40"</f>
        <v>29-40</v>
      </c>
      <c r="K7" s="0" t="str">
        <f aca="false">"1.25"</f>
        <v>1.25</v>
      </c>
      <c r="L7" s="0" t="str">
        <f aca="false">"11.66"</f>
        <v>11.66</v>
      </c>
      <c r="M7" s="0" t="str">
        <f aca="false">"26.3"</f>
        <v>26.3</v>
      </c>
    </row>
    <row r="8" customFormat="false" ht="12.8" hidden="false" customHeight="false" outlineLevel="0" collapsed="false">
      <c r="A8" s="0" t="s">
        <v>1877</v>
      </c>
      <c r="B8" s="0" t="s">
        <v>13</v>
      </c>
      <c r="C8" s="0" t="str">
        <f aca="false">"209-220"</f>
        <v>209-220</v>
      </c>
      <c r="D8" s="0" t="s">
        <v>24</v>
      </c>
      <c r="E8" s="0" t="str">
        <f aca="false">"156-167"</f>
        <v>156-167</v>
      </c>
      <c r="F8" s="0" t="s">
        <v>851</v>
      </c>
      <c r="G8" s="0" t="s">
        <v>13</v>
      </c>
      <c r="H8" s="0" t="str">
        <f aca="false">"1002-1013"</f>
        <v>1002-1013</v>
      </c>
      <c r="I8" s="0" t="s">
        <v>9</v>
      </c>
      <c r="J8" s="0" t="str">
        <f aca="false">"1003-1014"</f>
        <v>1003-1014</v>
      </c>
      <c r="K8" s="0" t="str">
        <f aca="false">"1.09"</f>
        <v>1.09</v>
      </c>
      <c r="L8" s="0" t="str">
        <f aca="false">"11.12"</f>
        <v>11.12</v>
      </c>
      <c r="M8" s="0" t="str">
        <f aca="false">"29.5"</f>
        <v>29.5</v>
      </c>
    </row>
    <row r="9" customFormat="false" ht="12.8" hidden="false" customHeight="false" outlineLevel="0" collapsed="false">
      <c r="A9" s="0" t="s">
        <v>1877</v>
      </c>
      <c r="B9" s="0" t="s">
        <v>13</v>
      </c>
      <c r="C9" s="0" t="str">
        <f aca="false">"209-220"</f>
        <v>209-220</v>
      </c>
      <c r="D9" s="0" t="s">
        <v>24</v>
      </c>
      <c r="E9" s="0" t="str">
        <f aca="false">"156-167"</f>
        <v>156-167</v>
      </c>
      <c r="F9" s="0" t="s">
        <v>1881</v>
      </c>
      <c r="G9" s="0" t="s">
        <v>71</v>
      </c>
      <c r="H9" s="0" t="str">
        <f aca="false">"101-112"</f>
        <v>101-112</v>
      </c>
      <c r="I9" s="0" t="s">
        <v>70</v>
      </c>
      <c r="J9" s="0" t="str">
        <f aca="false">"35-46"</f>
        <v>35-46</v>
      </c>
      <c r="K9" s="0" t="str">
        <f aca="false">"1.25"</f>
        <v>1.25</v>
      </c>
      <c r="L9" s="0" t="str">
        <f aca="false">"10.95"</f>
        <v>10.95</v>
      </c>
      <c r="M9" s="0" t="str">
        <f aca="false">"26.9"</f>
        <v>26.9</v>
      </c>
    </row>
    <row r="10" customFormat="false" ht="12.8" hidden="false" customHeight="false" outlineLevel="0" collapsed="false">
      <c r="A10" s="0" t="s">
        <v>1877</v>
      </c>
      <c r="B10" s="0" t="s">
        <v>13</v>
      </c>
      <c r="C10" s="0" t="str">
        <f aca="false">"209-220"</f>
        <v>209-220</v>
      </c>
      <c r="D10" s="0" t="s">
        <v>24</v>
      </c>
      <c r="E10" s="0" t="str">
        <f aca="false">"156-167"</f>
        <v>156-167</v>
      </c>
      <c r="F10" s="0" t="s">
        <v>1882</v>
      </c>
      <c r="G10" s="0" t="s">
        <v>13</v>
      </c>
      <c r="H10" s="0" t="str">
        <f aca="false">"111-122"</f>
        <v>111-122</v>
      </c>
      <c r="I10" s="0" t="s">
        <v>13</v>
      </c>
      <c r="J10" s="0" t="str">
        <f aca="false">"254-265"</f>
        <v>254-265</v>
      </c>
      <c r="K10" s="0" t="str">
        <f aca="false">"0.94"</f>
        <v>0.94</v>
      </c>
      <c r="L10" s="0" t="str">
        <f aca="false">"12.34"</f>
        <v>12.34</v>
      </c>
      <c r="M10" s="0" t="str">
        <f aca="false">"28.9"</f>
        <v>28.9</v>
      </c>
    </row>
    <row r="11" customFormat="false" ht="12.8" hidden="false" customHeight="false" outlineLevel="0" collapsed="false">
      <c r="A11" s="0" t="s">
        <v>1877</v>
      </c>
      <c r="B11" s="0" t="s">
        <v>13</v>
      </c>
      <c r="C11" s="0" t="str">
        <f aca="false">"209-220"</f>
        <v>209-220</v>
      </c>
      <c r="D11" s="0" t="s">
        <v>24</v>
      </c>
      <c r="E11" s="0" t="str">
        <f aca="false">"156-167"</f>
        <v>156-167</v>
      </c>
      <c r="F11" s="0" t="s">
        <v>1883</v>
      </c>
      <c r="G11" s="0" t="s">
        <v>885</v>
      </c>
      <c r="H11" s="0" t="str">
        <f aca="false">"189-200"</f>
        <v>189-200</v>
      </c>
      <c r="I11" s="0" t="s">
        <v>885</v>
      </c>
      <c r="J11" s="0" t="str">
        <f aca="false">"86-97"</f>
        <v>86-97</v>
      </c>
      <c r="K11" s="0" t="str">
        <f aca="false">"1.20"</f>
        <v>1.20</v>
      </c>
      <c r="L11" s="0" t="str">
        <f aca="false">"13.39"</f>
        <v>13.39</v>
      </c>
      <c r="M11" s="0" t="str">
        <f aca="false">"21.4"</f>
        <v>21.4</v>
      </c>
    </row>
    <row r="12" customFormat="false" ht="12.8" hidden="false" customHeight="false" outlineLevel="0" collapsed="false">
      <c r="A12" s="0" t="s">
        <v>1877</v>
      </c>
      <c r="B12" s="0" t="s">
        <v>13</v>
      </c>
      <c r="C12" s="0" t="str">
        <f aca="false">"206-217"</f>
        <v>206-217</v>
      </c>
      <c r="D12" s="0" t="s">
        <v>24</v>
      </c>
      <c r="E12" s="0" t="str">
        <f aca="false">"150-161"</f>
        <v>150-161</v>
      </c>
      <c r="F12" s="0" t="s">
        <v>1884</v>
      </c>
      <c r="G12" s="0" t="s">
        <v>9</v>
      </c>
      <c r="H12" s="0" t="str">
        <f aca="false">"101-112"</f>
        <v>101-112</v>
      </c>
      <c r="I12" s="0" t="s">
        <v>9</v>
      </c>
      <c r="J12" s="0" t="str">
        <f aca="false">"148-159"</f>
        <v>148-159</v>
      </c>
      <c r="K12" s="0" t="str">
        <f aca="false">"0.85"</f>
        <v>0.85</v>
      </c>
      <c r="L12" s="0" t="str">
        <f aca="false">"13.15"</f>
        <v>13.15</v>
      </c>
      <c r="M12" s="0" t="str">
        <f aca="false">"33.8"</f>
        <v>33.8</v>
      </c>
    </row>
    <row r="13" customFormat="false" ht="12.8" hidden="false" customHeight="false" outlineLevel="0" collapsed="false">
      <c r="A13" s="0" t="s">
        <v>1877</v>
      </c>
      <c r="B13" s="0" t="s">
        <v>13</v>
      </c>
      <c r="C13" s="0" t="str">
        <f aca="false">"205-216"</f>
        <v>205-216</v>
      </c>
      <c r="D13" s="0" t="s">
        <v>24</v>
      </c>
      <c r="E13" s="0" t="str">
        <f aca="false">"150-161"</f>
        <v>150-161</v>
      </c>
      <c r="F13" s="0" t="s">
        <v>1885</v>
      </c>
      <c r="G13" s="0" t="s">
        <v>120</v>
      </c>
      <c r="H13" s="0" t="str">
        <f aca="false">"10-21"</f>
        <v>10-21</v>
      </c>
      <c r="I13" s="0" t="s">
        <v>120</v>
      </c>
      <c r="J13" s="0" t="str">
        <f aca="false">"68-79"</f>
        <v>68-79</v>
      </c>
      <c r="K13" s="0" t="str">
        <f aca="false">"0.56"</f>
        <v>0.56</v>
      </c>
      <c r="L13" s="0" t="str">
        <f aca="false">"13.33"</f>
        <v>13.33</v>
      </c>
      <c r="M13" s="0" t="str">
        <f aca="false">"35.3"</f>
        <v>35.3</v>
      </c>
    </row>
    <row r="14" customFormat="false" ht="12.8" hidden="false" customHeight="false" outlineLevel="0" collapsed="false">
      <c r="A14" s="0" t="s">
        <v>1877</v>
      </c>
      <c r="B14" s="0" t="s">
        <v>13</v>
      </c>
      <c r="C14" s="0" t="str">
        <f aca="false">"209-220"</f>
        <v>209-220</v>
      </c>
      <c r="D14" s="0" t="s">
        <v>24</v>
      </c>
      <c r="E14" s="0" t="str">
        <f aca="false">"156-167"</f>
        <v>156-167</v>
      </c>
      <c r="F14" s="0" t="s">
        <v>1886</v>
      </c>
      <c r="G14" s="0" t="s">
        <v>9</v>
      </c>
      <c r="H14" s="0" t="str">
        <f aca="false">"103-114"</f>
        <v>103-114</v>
      </c>
      <c r="I14" s="0" t="s">
        <v>9</v>
      </c>
      <c r="J14" s="0" t="str">
        <f aca="false">"218-229"</f>
        <v>218-229</v>
      </c>
      <c r="K14" s="0" t="str">
        <f aca="false">"0.99"</f>
        <v>0.99</v>
      </c>
      <c r="L14" s="0" t="str">
        <f aca="false">"12.65"</f>
        <v>12.65</v>
      </c>
      <c r="M14" s="0" t="str">
        <f aca="false">"19.3"</f>
        <v>19.3</v>
      </c>
    </row>
    <row r="15" customFormat="false" ht="12.8" hidden="false" customHeight="false" outlineLevel="0" collapsed="false">
      <c r="A15" s="0" t="s">
        <v>1877</v>
      </c>
      <c r="B15" s="0" t="s">
        <v>13</v>
      </c>
      <c r="C15" s="0" t="str">
        <f aca="false">"209-220"</f>
        <v>209-220</v>
      </c>
      <c r="D15" s="0" t="s">
        <v>24</v>
      </c>
      <c r="E15" s="0" t="str">
        <f aca="false">"153-164"</f>
        <v>153-164</v>
      </c>
      <c r="F15" s="0" t="s">
        <v>1887</v>
      </c>
      <c r="G15" s="0" t="s">
        <v>9</v>
      </c>
      <c r="H15" s="0" t="str">
        <f aca="false">"44-55"</f>
        <v>44-55</v>
      </c>
      <c r="I15" s="0" t="s">
        <v>9</v>
      </c>
      <c r="J15" s="0" t="str">
        <f aca="false">"108-119"</f>
        <v>108-119</v>
      </c>
      <c r="K15" s="0" t="str">
        <f aca="false">"1.08"</f>
        <v>1.08</v>
      </c>
      <c r="L15" s="0" t="str">
        <f aca="false">"13.78"</f>
        <v>13.78</v>
      </c>
      <c r="M15" s="0" t="str">
        <f aca="false">"26.8"</f>
        <v>26.8</v>
      </c>
    </row>
    <row r="16" customFormat="false" ht="12.8" hidden="false" customHeight="false" outlineLevel="0" collapsed="false">
      <c r="A16" s="0" t="s">
        <v>1877</v>
      </c>
      <c r="B16" s="0" t="s">
        <v>13</v>
      </c>
      <c r="C16" s="0" t="str">
        <f aca="false">"209-220"</f>
        <v>209-220</v>
      </c>
      <c r="D16" s="0" t="s">
        <v>24</v>
      </c>
      <c r="E16" s="0" t="str">
        <f aca="false">"156-167"</f>
        <v>156-167</v>
      </c>
      <c r="F16" s="0" t="s">
        <v>1888</v>
      </c>
      <c r="G16" s="0" t="s">
        <v>9</v>
      </c>
      <c r="H16" s="0" t="str">
        <f aca="false">"74-85"</f>
        <v>74-85</v>
      </c>
      <c r="I16" s="0" t="s">
        <v>120</v>
      </c>
      <c r="J16" s="0" t="str">
        <f aca="false">"70-81"</f>
        <v>70-81</v>
      </c>
      <c r="K16" s="0" t="str">
        <f aca="false">"0.53"</f>
        <v>0.53</v>
      </c>
      <c r="L16" s="0" t="str">
        <f aca="false">"13.10"</f>
        <v>13.10</v>
      </c>
      <c r="M16" s="0" t="str">
        <f aca="false">"39.2"</f>
        <v>39.2</v>
      </c>
    </row>
    <row r="17" customFormat="false" ht="12.8" hidden="false" customHeight="false" outlineLevel="0" collapsed="false">
      <c r="A17" s="0" t="s">
        <v>1877</v>
      </c>
      <c r="B17" s="0" t="s">
        <v>13</v>
      </c>
      <c r="C17" s="0" t="str">
        <f aca="false">"209-220"</f>
        <v>209-220</v>
      </c>
      <c r="D17" s="0" t="s">
        <v>24</v>
      </c>
      <c r="E17" s="0" t="str">
        <f aca="false">"156-167"</f>
        <v>156-167</v>
      </c>
      <c r="F17" s="0" t="s">
        <v>1889</v>
      </c>
      <c r="G17" s="0" t="s">
        <v>9</v>
      </c>
      <c r="H17" s="0" t="str">
        <f aca="false">"272-283"</f>
        <v>272-283</v>
      </c>
      <c r="I17" s="0" t="s">
        <v>9</v>
      </c>
      <c r="J17" s="0" t="str">
        <f aca="false">"132-143"</f>
        <v>132-143</v>
      </c>
      <c r="K17" s="0" t="str">
        <f aca="false">"1.21"</f>
        <v>1.21</v>
      </c>
      <c r="L17" s="0" t="str">
        <f aca="false">"12.88"</f>
        <v>12.88</v>
      </c>
      <c r="M17" s="0" t="str">
        <f aca="false">"30.7"</f>
        <v>30.7</v>
      </c>
    </row>
    <row r="18" customFormat="false" ht="12.8" hidden="false" customHeight="false" outlineLevel="0" collapsed="false">
      <c r="A18" s="0" t="s">
        <v>1877</v>
      </c>
      <c r="B18" s="0" t="s">
        <v>13</v>
      </c>
      <c r="C18" s="0" t="str">
        <f aca="false">"212-223"</f>
        <v>212-223</v>
      </c>
      <c r="D18" s="0" t="s">
        <v>24</v>
      </c>
      <c r="E18" s="0" t="str">
        <f aca="false">"160-171"</f>
        <v>160-171</v>
      </c>
      <c r="F18" s="0" t="s">
        <v>1890</v>
      </c>
      <c r="G18" s="0" t="s">
        <v>9</v>
      </c>
      <c r="H18" s="0" t="str">
        <f aca="false">"215-226"</f>
        <v>215-226</v>
      </c>
      <c r="I18" s="0" t="s">
        <v>9</v>
      </c>
      <c r="J18" s="0" t="str">
        <f aca="false">"75-86"</f>
        <v>75-86</v>
      </c>
      <c r="K18" s="0" t="str">
        <f aca="false">"0.72"</f>
        <v>0.72</v>
      </c>
      <c r="L18" s="0" t="str">
        <f aca="false">"13.11"</f>
        <v>13.11</v>
      </c>
      <c r="M18" s="0" t="str">
        <f aca="false">"31.8"</f>
        <v>31.8</v>
      </c>
    </row>
    <row r="19" customFormat="false" ht="12.8" hidden="false" customHeight="false" outlineLevel="0" collapsed="false">
      <c r="A19" s="0" t="s">
        <v>1877</v>
      </c>
      <c r="B19" s="0" t="s">
        <v>13</v>
      </c>
      <c r="C19" s="0" t="str">
        <f aca="false">"209-220"</f>
        <v>209-220</v>
      </c>
      <c r="D19" s="0" t="s">
        <v>24</v>
      </c>
      <c r="E19" s="0" t="str">
        <f aca="false">"156-167"</f>
        <v>156-167</v>
      </c>
      <c r="F19" s="0" t="s">
        <v>1891</v>
      </c>
      <c r="G19" s="0" t="s">
        <v>13</v>
      </c>
      <c r="H19" s="0" t="str">
        <f aca="false">"292-303"</f>
        <v>292-303</v>
      </c>
      <c r="I19" s="0" t="s">
        <v>13</v>
      </c>
      <c r="J19" s="0" t="str">
        <f aca="false">"149-160"</f>
        <v>149-160</v>
      </c>
      <c r="K19" s="0" t="str">
        <f aca="false">"1.14"</f>
        <v>1.14</v>
      </c>
      <c r="L19" s="0" t="str">
        <f aca="false">"13.57"</f>
        <v>13.57</v>
      </c>
      <c r="M19" s="0" t="str">
        <f aca="false">"32.4"</f>
        <v>32.4</v>
      </c>
    </row>
    <row r="20" customFormat="false" ht="12.8" hidden="false" customHeight="false" outlineLevel="0" collapsed="false">
      <c r="A20" s="0" t="s">
        <v>1877</v>
      </c>
      <c r="B20" s="0" t="s">
        <v>13</v>
      </c>
      <c r="C20" s="0" t="str">
        <f aca="false">"209-220"</f>
        <v>209-220</v>
      </c>
      <c r="D20" s="0" t="s">
        <v>24</v>
      </c>
      <c r="E20" s="0" t="str">
        <f aca="false">"157-168"</f>
        <v>157-168</v>
      </c>
      <c r="F20" s="0" t="s">
        <v>1892</v>
      </c>
      <c r="G20" s="0" t="s">
        <v>13</v>
      </c>
      <c r="H20" s="0" t="str">
        <f aca="false">"320-331"</f>
        <v>320-331</v>
      </c>
      <c r="I20" s="0" t="s">
        <v>9</v>
      </c>
      <c r="J20" s="0" t="str">
        <f aca="false">"287-298"</f>
        <v>287-298</v>
      </c>
      <c r="K20" s="0" t="str">
        <f aca="false">"0.78"</f>
        <v>0.78</v>
      </c>
      <c r="L20" s="0" t="str">
        <f aca="false">"12.85"</f>
        <v>12.85</v>
      </c>
      <c r="M20" s="0" t="str">
        <f aca="false">"27.3"</f>
        <v>27.3</v>
      </c>
    </row>
    <row r="21" customFormat="false" ht="12.8" hidden="false" customHeight="false" outlineLevel="0" collapsed="false">
      <c r="A21" s="0" t="s">
        <v>1877</v>
      </c>
      <c r="B21" s="0" t="s">
        <v>13</v>
      </c>
      <c r="C21" s="0" t="str">
        <f aca="false">"209-220"</f>
        <v>209-220</v>
      </c>
      <c r="D21" s="0" t="s">
        <v>24</v>
      </c>
      <c r="E21" s="0" t="str">
        <f aca="false">"156-167"</f>
        <v>156-167</v>
      </c>
      <c r="F21" s="0" t="s">
        <v>1893</v>
      </c>
      <c r="G21" s="0" t="s">
        <v>9</v>
      </c>
      <c r="H21" s="0" t="str">
        <f aca="false">"136-147"</f>
        <v>136-147</v>
      </c>
      <c r="I21" s="0" t="s">
        <v>9</v>
      </c>
      <c r="J21" s="0" t="str">
        <f aca="false">"25-36"</f>
        <v>25-36</v>
      </c>
      <c r="K21" s="0" t="str">
        <f aca="false">"1.18"</f>
        <v>1.18</v>
      </c>
      <c r="L21" s="0" t="str">
        <f aca="false">"13.61"</f>
        <v>13.61</v>
      </c>
      <c r="M21" s="0" t="str">
        <f aca="false">"26.5"</f>
        <v>26.5</v>
      </c>
    </row>
    <row r="22" customFormat="false" ht="12.8" hidden="false" customHeight="false" outlineLevel="0" collapsed="false">
      <c r="A22" s="0" t="s">
        <v>1877</v>
      </c>
      <c r="B22" s="0" t="s">
        <v>13</v>
      </c>
      <c r="C22" s="0" t="str">
        <f aca="false">"205-216"</f>
        <v>205-216</v>
      </c>
      <c r="D22" s="0" t="s">
        <v>24</v>
      </c>
      <c r="E22" s="0" t="str">
        <f aca="false">"150-161"</f>
        <v>150-161</v>
      </c>
      <c r="F22" s="0" t="s">
        <v>1894</v>
      </c>
      <c r="G22" s="0" t="s">
        <v>9</v>
      </c>
      <c r="H22" s="0" t="str">
        <f aca="false">"93-104"</f>
        <v>93-104</v>
      </c>
      <c r="I22" s="0" t="s">
        <v>9</v>
      </c>
      <c r="J22" s="0" t="str">
        <f aca="false">"41-52"</f>
        <v>41-52</v>
      </c>
      <c r="K22" s="0" t="str">
        <f aca="false">"1.24"</f>
        <v>1.24</v>
      </c>
      <c r="L22" s="0" t="str">
        <f aca="false">"12.89"</f>
        <v>12.89</v>
      </c>
      <c r="M22" s="0" t="str">
        <f aca="false">"24.4"</f>
        <v>24.4</v>
      </c>
    </row>
    <row r="23" customFormat="false" ht="12.8" hidden="false" customHeight="false" outlineLevel="0" collapsed="false">
      <c r="A23" s="0" t="s">
        <v>1877</v>
      </c>
      <c r="B23" s="0" t="s">
        <v>13</v>
      </c>
      <c r="C23" s="0" t="str">
        <f aca="false">"209-220"</f>
        <v>209-220</v>
      </c>
      <c r="D23" s="0" t="s">
        <v>24</v>
      </c>
      <c r="E23" s="0" t="str">
        <f aca="false">"156-167"</f>
        <v>156-167</v>
      </c>
      <c r="F23" s="0" t="s">
        <v>1895</v>
      </c>
      <c r="G23" s="0" t="s">
        <v>9</v>
      </c>
      <c r="H23" s="0" t="str">
        <f aca="false">"199-210"</f>
        <v>199-210</v>
      </c>
      <c r="I23" s="0" t="s">
        <v>9</v>
      </c>
      <c r="J23" s="0" t="str">
        <f aca="false">"117-128"</f>
        <v>117-128</v>
      </c>
      <c r="K23" s="0" t="str">
        <f aca="false">"0.97"</f>
        <v>0.97</v>
      </c>
      <c r="L23" s="0" t="str">
        <f aca="false">"12.41"</f>
        <v>12.41</v>
      </c>
      <c r="M23" s="0" t="str">
        <f aca="false">"33.5"</f>
        <v>33.5</v>
      </c>
    </row>
    <row r="24" customFormat="false" ht="12.8" hidden="false" customHeight="false" outlineLevel="0" collapsed="false">
      <c r="A24" s="0" t="s">
        <v>1877</v>
      </c>
      <c r="B24" s="0" t="s">
        <v>13</v>
      </c>
      <c r="C24" s="0" t="str">
        <f aca="false">"209-220"</f>
        <v>209-220</v>
      </c>
      <c r="D24" s="0" t="s">
        <v>24</v>
      </c>
      <c r="E24" s="0" t="str">
        <f aca="false">"156-167"</f>
        <v>156-167</v>
      </c>
      <c r="F24" s="0" t="s">
        <v>1896</v>
      </c>
      <c r="G24" s="0" t="s">
        <v>9</v>
      </c>
      <c r="H24" s="0" t="str">
        <f aca="false">"101-112"</f>
        <v>101-112</v>
      </c>
      <c r="I24" s="0" t="s">
        <v>9</v>
      </c>
      <c r="J24" s="0" t="str">
        <f aca="false">"53-64"</f>
        <v>53-64</v>
      </c>
      <c r="K24" s="0" t="str">
        <f aca="false">"1.10"</f>
        <v>1.10</v>
      </c>
      <c r="L24" s="0" t="str">
        <f aca="false">"13.34"</f>
        <v>13.34</v>
      </c>
      <c r="M24" s="0" t="str">
        <f aca="false">"23.9"</f>
        <v>23.9</v>
      </c>
    </row>
    <row r="25" customFormat="false" ht="12.8" hidden="false" customHeight="false" outlineLevel="0" collapsed="false">
      <c r="A25" s="0" t="s">
        <v>1877</v>
      </c>
      <c r="B25" s="0" t="s">
        <v>13</v>
      </c>
      <c r="C25" s="0" t="str">
        <f aca="false">"208-219"</f>
        <v>208-219</v>
      </c>
      <c r="D25" s="0" t="s">
        <v>24</v>
      </c>
      <c r="E25" s="0" t="str">
        <f aca="false">"152-163"</f>
        <v>152-163</v>
      </c>
      <c r="F25" s="0" t="s">
        <v>1897</v>
      </c>
      <c r="G25" s="0" t="s">
        <v>13</v>
      </c>
      <c r="H25" s="0" t="str">
        <f aca="false">"250-261"</f>
        <v>250-261</v>
      </c>
      <c r="I25" s="0" t="s">
        <v>13</v>
      </c>
      <c r="J25" s="0" t="str">
        <f aca="false">"111-122"</f>
        <v>111-122</v>
      </c>
      <c r="K25" s="0" t="str">
        <f aca="false">"0.58"</f>
        <v>0.58</v>
      </c>
      <c r="L25" s="0" t="str">
        <f aca="false">"13.27"</f>
        <v>13.27</v>
      </c>
      <c r="M25" s="0" t="str">
        <f aca="false">"37.6"</f>
        <v>37.6</v>
      </c>
    </row>
    <row r="26" customFormat="false" ht="12.8" hidden="false" customHeight="false" outlineLevel="0" collapsed="false">
      <c r="A26" s="0" t="s">
        <v>1877</v>
      </c>
      <c r="B26" s="0" t="s">
        <v>13</v>
      </c>
      <c r="C26" s="0" t="str">
        <f aca="false">"209-220"</f>
        <v>209-220</v>
      </c>
      <c r="D26" s="0" t="s">
        <v>24</v>
      </c>
      <c r="E26" s="0" t="str">
        <f aca="false">"156-167"</f>
        <v>156-167</v>
      </c>
      <c r="F26" s="0" t="s">
        <v>1898</v>
      </c>
      <c r="G26" s="0" t="s">
        <v>9</v>
      </c>
      <c r="H26" s="0" t="str">
        <f aca="false">"215-226"</f>
        <v>215-226</v>
      </c>
      <c r="I26" s="0" t="s">
        <v>9</v>
      </c>
      <c r="J26" s="0" t="str">
        <f aca="false">"65-76"</f>
        <v>65-76</v>
      </c>
      <c r="K26" s="0" t="str">
        <f aca="false">"0.72"</f>
        <v>0.72</v>
      </c>
      <c r="L26" s="0" t="str">
        <f aca="false">"13.42"</f>
        <v>13.42</v>
      </c>
      <c r="M26" s="0" t="str">
        <f aca="false">"36.2"</f>
        <v>36.2</v>
      </c>
    </row>
    <row r="27" customFormat="false" ht="12.8" hidden="false" customHeight="false" outlineLevel="0" collapsed="false">
      <c r="A27" s="0" t="s">
        <v>1877</v>
      </c>
      <c r="B27" s="0" t="s">
        <v>13</v>
      </c>
      <c r="C27" s="0" t="str">
        <f aca="false">"212-223"</f>
        <v>212-223</v>
      </c>
      <c r="D27" s="0" t="s">
        <v>24</v>
      </c>
      <c r="E27" s="0" t="str">
        <f aca="false">"160-171"</f>
        <v>160-171</v>
      </c>
      <c r="F27" s="0" t="s">
        <v>1899</v>
      </c>
      <c r="G27" s="0" t="s">
        <v>9</v>
      </c>
      <c r="H27" s="0" t="str">
        <f aca="false">"8-19"</f>
        <v>8-19</v>
      </c>
      <c r="I27" s="0" t="s">
        <v>13</v>
      </c>
      <c r="J27" s="0" t="str">
        <f aca="false">"36-47"</f>
        <v>36-47</v>
      </c>
      <c r="K27" s="0" t="str">
        <f aca="false">"0.57"</f>
        <v>0.57</v>
      </c>
      <c r="L27" s="0" t="str">
        <f aca="false">"13.40"</f>
        <v>13.40</v>
      </c>
      <c r="M27" s="0" t="str">
        <f aca="false">"32.9"</f>
        <v>32.9</v>
      </c>
    </row>
    <row r="28" customFormat="false" ht="12.8" hidden="false" customHeight="false" outlineLevel="0" collapsed="false">
      <c r="A28" s="0" t="s">
        <v>1877</v>
      </c>
      <c r="B28" s="0" t="s">
        <v>13</v>
      </c>
      <c r="C28" s="0" t="str">
        <f aca="false">"212-223"</f>
        <v>212-223</v>
      </c>
      <c r="D28" s="0" t="s">
        <v>24</v>
      </c>
      <c r="E28" s="0" t="str">
        <f aca="false">"156-167"</f>
        <v>156-167</v>
      </c>
      <c r="F28" s="0" t="s">
        <v>1900</v>
      </c>
      <c r="G28" s="0" t="s">
        <v>9</v>
      </c>
      <c r="H28" s="0" t="str">
        <f aca="false">"92-103"</f>
        <v>92-103</v>
      </c>
      <c r="I28" s="0" t="s">
        <v>9</v>
      </c>
      <c r="J28" s="0" t="str">
        <f aca="false">"35-46"</f>
        <v>35-46</v>
      </c>
      <c r="K28" s="0" t="str">
        <f aca="false">"1.16"</f>
        <v>1.16</v>
      </c>
      <c r="L28" s="0" t="str">
        <f aca="false">"12.91"</f>
        <v>12.91</v>
      </c>
      <c r="M28" s="0" t="str">
        <f aca="false">"29.1"</f>
        <v>29.1</v>
      </c>
    </row>
    <row r="29" customFormat="false" ht="12.8" hidden="false" customHeight="false" outlineLevel="0" collapsed="false">
      <c r="A29" s="0" t="s">
        <v>1877</v>
      </c>
      <c r="B29" s="0" t="s">
        <v>13</v>
      </c>
      <c r="C29" s="0" t="str">
        <f aca="false">"212-223"</f>
        <v>212-223</v>
      </c>
      <c r="D29" s="0" t="s">
        <v>24</v>
      </c>
      <c r="E29" s="0" t="str">
        <f aca="false">"160-171"</f>
        <v>160-171</v>
      </c>
      <c r="F29" s="0" t="s">
        <v>1901</v>
      </c>
      <c r="G29" s="0" t="s">
        <v>9</v>
      </c>
      <c r="H29" s="0" t="str">
        <f aca="false">"35-46"</f>
        <v>35-46</v>
      </c>
      <c r="I29" s="0" t="s">
        <v>9</v>
      </c>
      <c r="J29" s="0" t="str">
        <f aca="false">"91-102"</f>
        <v>91-102</v>
      </c>
      <c r="K29" s="0" t="str">
        <f aca="false">"0.97"</f>
        <v>0.97</v>
      </c>
      <c r="L29" s="0" t="str">
        <f aca="false">"13.31"</f>
        <v>13.31</v>
      </c>
      <c r="M29" s="0" t="str">
        <f aca="false">"36.2"</f>
        <v>36.2</v>
      </c>
    </row>
    <row r="30" customFormat="false" ht="12.8" hidden="false" customHeight="false" outlineLevel="0" collapsed="false">
      <c r="A30" s="0" t="s">
        <v>1877</v>
      </c>
      <c r="B30" s="0" t="s">
        <v>13</v>
      </c>
      <c r="C30" s="0" t="str">
        <f aca="false">"209-220"</f>
        <v>209-220</v>
      </c>
      <c r="D30" s="0" t="s">
        <v>24</v>
      </c>
      <c r="E30" s="0" t="str">
        <f aca="false">"156-167"</f>
        <v>156-167</v>
      </c>
      <c r="F30" s="0" t="s">
        <v>1902</v>
      </c>
      <c r="G30" s="0" t="s">
        <v>13</v>
      </c>
      <c r="H30" s="0" t="str">
        <f aca="false">"954-965"</f>
        <v>954-965</v>
      </c>
      <c r="I30" s="0" t="s">
        <v>13</v>
      </c>
      <c r="J30" s="0" t="str">
        <f aca="false">"1023-1034"</f>
        <v>1023-1034</v>
      </c>
      <c r="K30" s="0" t="str">
        <f aca="false">"1.21"</f>
        <v>1.21</v>
      </c>
      <c r="L30" s="0" t="str">
        <f aca="false">"12.61"</f>
        <v>12.61</v>
      </c>
      <c r="M30" s="0" t="str">
        <f aca="false">"15.5"</f>
        <v>15.5</v>
      </c>
    </row>
    <row r="31" customFormat="false" ht="12.8" hidden="false" customHeight="false" outlineLevel="0" collapsed="false">
      <c r="A31" s="0" t="s">
        <v>1877</v>
      </c>
      <c r="B31" s="0" t="s">
        <v>13</v>
      </c>
      <c r="C31" s="0" t="str">
        <f aca="false">"213-224"</f>
        <v>213-224</v>
      </c>
      <c r="D31" s="0" t="s">
        <v>24</v>
      </c>
      <c r="E31" s="0" t="str">
        <f aca="false">"160-171"</f>
        <v>160-171</v>
      </c>
      <c r="F31" s="0" t="s">
        <v>1903</v>
      </c>
      <c r="G31" s="0" t="s">
        <v>13</v>
      </c>
      <c r="H31" s="0" t="str">
        <f aca="false">"177-188"</f>
        <v>177-188</v>
      </c>
      <c r="I31" s="0" t="s">
        <v>13</v>
      </c>
      <c r="J31" s="0" t="str">
        <f aca="false">"93-104"</f>
        <v>93-104</v>
      </c>
      <c r="K31" s="0" t="str">
        <f aca="false">"0.77"</f>
        <v>0.77</v>
      </c>
      <c r="L31" s="0" t="str">
        <f aca="false">"13.30"</f>
        <v>13.30</v>
      </c>
      <c r="M31" s="0" t="str">
        <f aca="false">"34.4"</f>
        <v>34.4</v>
      </c>
    </row>
    <row r="32" customFormat="false" ht="12.8" hidden="false" customHeight="false" outlineLevel="0" collapsed="false">
      <c r="A32" s="0" t="s">
        <v>1877</v>
      </c>
      <c r="B32" s="0" t="s">
        <v>13</v>
      </c>
      <c r="C32" s="0" t="str">
        <f aca="false">"212-223"</f>
        <v>212-223</v>
      </c>
      <c r="D32" s="0" t="s">
        <v>24</v>
      </c>
      <c r="E32" s="0" t="str">
        <f aca="false">"160-171"</f>
        <v>160-171</v>
      </c>
      <c r="F32" s="0" t="s">
        <v>1904</v>
      </c>
      <c r="G32" s="0" t="s">
        <v>13</v>
      </c>
      <c r="H32" s="0" t="str">
        <f aca="false">"30-41"</f>
        <v>30-41</v>
      </c>
      <c r="I32" s="0" t="s">
        <v>13</v>
      </c>
      <c r="J32" s="0" t="str">
        <f aca="false">"151-162"</f>
        <v>151-162</v>
      </c>
      <c r="K32" s="0" t="str">
        <f aca="false">"0.86"</f>
        <v>0.86</v>
      </c>
      <c r="L32" s="0" t="str">
        <f aca="false">"13.73"</f>
        <v>13.73</v>
      </c>
      <c r="M32" s="0" t="str">
        <f aca="false">"32.0"</f>
        <v>32.0</v>
      </c>
    </row>
    <row r="33" customFormat="false" ht="12.8" hidden="false" customHeight="false" outlineLevel="0" collapsed="false">
      <c r="A33" s="0" t="s">
        <v>1877</v>
      </c>
      <c r="B33" s="0" t="s">
        <v>13</v>
      </c>
      <c r="C33" s="0" t="str">
        <f aca="false">"209-220"</f>
        <v>209-220</v>
      </c>
      <c r="D33" s="0" t="s">
        <v>24</v>
      </c>
      <c r="E33" s="0" t="str">
        <f aca="false">"156-167"</f>
        <v>156-167</v>
      </c>
      <c r="F33" s="0" t="s">
        <v>1905</v>
      </c>
      <c r="G33" s="0" t="s">
        <v>13</v>
      </c>
      <c r="H33" s="0" t="str">
        <f aca="false">"51-62"</f>
        <v>51-62</v>
      </c>
      <c r="I33" s="0" t="s">
        <v>13</v>
      </c>
      <c r="J33" s="0" t="str">
        <f aca="false">"112-123"</f>
        <v>112-123</v>
      </c>
      <c r="K33" s="0" t="str">
        <f aca="false">"1.20"</f>
        <v>1.20</v>
      </c>
      <c r="L33" s="0" t="str">
        <f aca="false">"11.60"</f>
        <v>11.60</v>
      </c>
      <c r="M33" s="0" t="str">
        <f aca="false">"45.7"</f>
        <v>45.7</v>
      </c>
    </row>
    <row r="34" customFormat="false" ht="12.8" hidden="false" customHeight="false" outlineLevel="0" collapsed="false">
      <c r="A34" s="0" t="s">
        <v>1877</v>
      </c>
      <c r="B34" s="0" t="s">
        <v>13</v>
      </c>
      <c r="C34" s="0" t="str">
        <f aca="false">"209-220"</f>
        <v>209-220</v>
      </c>
      <c r="D34" s="0" t="s">
        <v>24</v>
      </c>
      <c r="E34" s="0" t="str">
        <f aca="false">"156-167"</f>
        <v>156-167</v>
      </c>
      <c r="F34" s="0" t="s">
        <v>1906</v>
      </c>
      <c r="G34" s="0" t="s">
        <v>71</v>
      </c>
      <c r="H34" s="0" t="str">
        <f aca="false">"22-33"</f>
        <v>22-33</v>
      </c>
      <c r="I34" s="0" t="s">
        <v>71</v>
      </c>
      <c r="J34" s="0" t="str">
        <f aca="false">"139-150"</f>
        <v>139-150</v>
      </c>
      <c r="K34" s="0" t="str">
        <f aca="false">"1.04"</f>
        <v>1.04</v>
      </c>
      <c r="L34" s="0" t="str">
        <f aca="false">"13.78"</f>
        <v>13.78</v>
      </c>
      <c r="M34" s="0" t="str">
        <f aca="false">"31.0"</f>
        <v>31.0</v>
      </c>
    </row>
    <row r="35" customFormat="false" ht="12.8" hidden="false" customHeight="false" outlineLevel="0" collapsed="false">
      <c r="A35" s="0" t="s">
        <v>1877</v>
      </c>
      <c r="B35" s="0" t="s">
        <v>13</v>
      </c>
      <c r="C35" s="0" t="str">
        <f aca="false">"205-216"</f>
        <v>205-216</v>
      </c>
      <c r="D35" s="0" t="s">
        <v>24</v>
      </c>
      <c r="E35" s="0" t="str">
        <f aca="false">"153-164"</f>
        <v>153-164</v>
      </c>
      <c r="F35" s="0" t="s">
        <v>1907</v>
      </c>
      <c r="G35" s="0" t="s">
        <v>9</v>
      </c>
      <c r="H35" s="0" t="str">
        <f aca="false">"137-148"</f>
        <v>137-148</v>
      </c>
      <c r="I35" s="0" t="s">
        <v>9</v>
      </c>
      <c r="J35" s="0" t="str">
        <f aca="false">"63-74"</f>
        <v>63-74</v>
      </c>
      <c r="K35" s="0" t="str">
        <f aca="false">"1.23"</f>
        <v>1.23</v>
      </c>
      <c r="L35" s="0" t="str">
        <f aca="false">"12.25"</f>
        <v>12.25</v>
      </c>
      <c r="M35" s="0" t="str">
        <f aca="false">"28.9"</f>
        <v>28.9</v>
      </c>
    </row>
    <row r="36" customFormat="false" ht="12.8" hidden="false" customHeight="false" outlineLevel="0" collapsed="false">
      <c r="A36" s="0" t="s">
        <v>1877</v>
      </c>
      <c r="B36" s="0" t="s">
        <v>13</v>
      </c>
      <c r="C36" s="0" t="str">
        <f aca="false">"206-217"</f>
        <v>206-217</v>
      </c>
      <c r="D36" s="0" t="s">
        <v>24</v>
      </c>
      <c r="E36" s="0" t="str">
        <f aca="false">"154-165"</f>
        <v>154-165</v>
      </c>
      <c r="F36" s="0" t="s">
        <v>1908</v>
      </c>
      <c r="G36" s="0" t="s">
        <v>9</v>
      </c>
      <c r="H36" s="0" t="str">
        <f aca="false">"55-66"</f>
        <v>55-66</v>
      </c>
      <c r="I36" s="0" t="s">
        <v>9</v>
      </c>
      <c r="J36" s="0" t="str">
        <f aca="false">"88-99"</f>
        <v>88-99</v>
      </c>
      <c r="K36" s="0" t="str">
        <f aca="false">"1.11"</f>
        <v>1.11</v>
      </c>
      <c r="L36" s="0" t="str">
        <f aca="false">"13.94"</f>
        <v>13.94</v>
      </c>
      <c r="M36" s="0" t="str">
        <f aca="false">"23.2"</f>
        <v>23.2</v>
      </c>
    </row>
    <row r="37" customFormat="false" ht="12.8" hidden="false" customHeight="false" outlineLevel="0" collapsed="false">
      <c r="A37" s="0" t="s">
        <v>1877</v>
      </c>
      <c r="B37" s="0" t="s">
        <v>13</v>
      </c>
      <c r="C37" s="0" t="str">
        <f aca="false">"209-220"</f>
        <v>209-220</v>
      </c>
      <c r="D37" s="0" t="s">
        <v>24</v>
      </c>
      <c r="E37" s="0" t="str">
        <f aca="false">"156-167"</f>
        <v>156-167</v>
      </c>
      <c r="F37" s="0" t="s">
        <v>1909</v>
      </c>
      <c r="G37" s="0" t="s">
        <v>9</v>
      </c>
      <c r="H37" s="0" t="str">
        <f aca="false">"51-62"</f>
        <v>51-62</v>
      </c>
      <c r="I37" s="0" t="s">
        <v>9</v>
      </c>
      <c r="J37" s="0" t="str">
        <f aca="false">"112-123"</f>
        <v>112-123</v>
      </c>
      <c r="K37" s="0" t="str">
        <f aca="false">"1.23"</f>
        <v>1.23</v>
      </c>
      <c r="L37" s="0" t="str">
        <f aca="false">"11.56"</f>
        <v>11.56</v>
      </c>
      <c r="M37" s="0" t="str">
        <f aca="false">"50.1"</f>
        <v>50.1</v>
      </c>
    </row>
    <row r="38" customFormat="false" ht="12.8" hidden="false" customHeight="false" outlineLevel="0" collapsed="false">
      <c r="A38" s="0" t="s">
        <v>1877</v>
      </c>
      <c r="B38" s="0" t="s">
        <v>13</v>
      </c>
      <c r="C38" s="0" t="str">
        <f aca="false">"215-226"</f>
        <v>215-226</v>
      </c>
      <c r="D38" s="0" t="s">
        <v>24</v>
      </c>
      <c r="E38" s="0" t="str">
        <f aca="false">"160-171"</f>
        <v>160-171</v>
      </c>
      <c r="F38" s="0" t="s">
        <v>1910</v>
      </c>
      <c r="G38" s="0" t="s">
        <v>9</v>
      </c>
      <c r="H38" s="0" t="str">
        <f aca="false">"361-372"</f>
        <v>361-372</v>
      </c>
      <c r="I38" s="0" t="s">
        <v>9</v>
      </c>
      <c r="J38" s="0" t="str">
        <f aca="false">"207-218"</f>
        <v>207-218</v>
      </c>
      <c r="K38" s="0" t="str">
        <f aca="false">"1.00"</f>
        <v>1.00</v>
      </c>
      <c r="L38" s="0" t="str">
        <f aca="false">"13.25"</f>
        <v>13.25</v>
      </c>
      <c r="M38" s="0" t="str">
        <f aca="false">"38.5"</f>
        <v>38.5</v>
      </c>
    </row>
    <row r="39" customFormat="false" ht="12.8" hidden="false" customHeight="false" outlineLevel="0" collapsed="false">
      <c r="A39" s="0" t="s">
        <v>1877</v>
      </c>
      <c r="B39" s="0" t="s">
        <v>13</v>
      </c>
      <c r="C39" s="0" t="str">
        <f aca="false">"209-220"</f>
        <v>209-220</v>
      </c>
      <c r="D39" s="0" t="s">
        <v>24</v>
      </c>
      <c r="E39" s="0" t="str">
        <f aca="false">"157-168"</f>
        <v>157-168</v>
      </c>
      <c r="F39" s="0" t="s">
        <v>1911</v>
      </c>
      <c r="G39" s="0" t="s">
        <v>13</v>
      </c>
      <c r="H39" s="0" t="str">
        <f aca="false">"38-49"</f>
        <v>38-49</v>
      </c>
      <c r="I39" s="0" t="s">
        <v>13</v>
      </c>
      <c r="J39" s="0" t="str">
        <f aca="false">"105-116"</f>
        <v>105-116</v>
      </c>
      <c r="K39" s="0" t="str">
        <f aca="false">"0.76"</f>
        <v>0.76</v>
      </c>
      <c r="L39" s="0" t="str">
        <f aca="false">"12.94"</f>
        <v>12.94</v>
      </c>
      <c r="M39" s="0" t="str">
        <f aca="false">"33.7"</f>
        <v>33.7</v>
      </c>
    </row>
    <row r="40" customFormat="false" ht="12.8" hidden="false" customHeight="false" outlineLevel="0" collapsed="false">
      <c r="A40" s="0" t="s">
        <v>1877</v>
      </c>
      <c r="B40" s="0" t="s">
        <v>13</v>
      </c>
      <c r="C40" s="0" t="str">
        <f aca="false">"209-220"</f>
        <v>209-220</v>
      </c>
      <c r="D40" s="0" t="s">
        <v>24</v>
      </c>
      <c r="E40" s="0" t="str">
        <f aca="false">"156-167"</f>
        <v>156-167</v>
      </c>
      <c r="F40" s="0" t="s">
        <v>1912</v>
      </c>
      <c r="G40" s="0" t="s">
        <v>9</v>
      </c>
      <c r="H40" s="0" t="str">
        <f aca="false">"56-67"</f>
        <v>56-67</v>
      </c>
      <c r="I40" s="0" t="s">
        <v>9</v>
      </c>
      <c r="J40" s="0" t="str">
        <f aca="false">"137-148"</f>
        <v>137-148</v>
      </c>
      <c r="K40" s="0" t="str">
        <f aca="false">"1.02"</f>
        <v>1.02</v>
      </c>
      <c r="L40" s="0" t="str">
        <f aca="false">"12.86"</f>
        <v>12.86</v>
      </c>
      <c r="M40" s="0" t="str">
        <f aca="false">"29.0"</f>
        <v>29.0</v>
      </c>
    </row>
    <row r="41" customFormat="false" ht="12.8" hidden="false" customHeight="false" outlineLevel="0" collapsed="false">
      <c r="A41" s="0" t="s">
        <v>1877</v>
      </c>
      <c r="B41" s="0" t="s">
        <v>13</v>
      </c>
      <c r="C41" s="0" t="str">
        <f aca="false">"209-220"</f>
        <v>209-220</v>
      </c>
      <c r="D41" s="0" t="s">
        <v>24</v>
      </c>
      <c r="E41" s="0" t="str">
        <f aca="false">"156-167"</f>
        <v>156-167</v>
      </c>
      <c r="F41" s="0" t="s">
        <v>1913</v>
      </c>
      <c r="G41" s="0" t="s">
        <v>9</v>
      </c>
      <c r="H41" s="0" t="str">
        <f aca="false">"707-718"</f>
        <v>707-718</v>
      </c>
      <c r="I41" s="0" t="s">
        <v>9</v>
      </c>
      <c r="J41" s="0" t="str">
        <f aca="false">"744-755"</f>
        <v>744-755</v>
      </c>
      <c r="K41" s="0" t="str">
        <f aca="false">"1.05"</f>
        <v>1.05</v>
      </c>
      <c r="L41" s="0" t="str">
        <f aca="false">"12.64"</f>
        <v>12.64</v>
      </c>
      <c r="M41" s="0" t="str">
        <f aca="false">"54.8"</f>
        <v>54.8</v>
      </c>
    </row>
    <row r="42" customFormat="false" ht="12.8" hidden="false" customHeight="false" outlineLevel="0" collapsed="false">
      <c r="A42" s="0" t="s">
        <v>1877</v>
      </c>
      <c r="B42" s="0" t="s">
        <v>13</v>
      </c>
      <c r="C42" s="0" t="str">
        <f aca="false">"209-220"</f>
        <v>209-220</v>
      </c>
      <c r="D42" s="0" t="s">
        <v>24</v>
      </c>
      <c r="E42" s="0" t="str">
        <f aca="false">"156-167"</f>
        <v>156-167</v>
      </c>
      <c r="F42" s="0" t="s">
        <v>1914</v>
      </c>
      <c r="G42" s="0" t="s">
        <v>9</v>
      </c>
      <c r="H42" s="0" t="str">
        <f aca="false">"213-224"</f>
        <v>213-224</v>
      </c>
      <c r="I42" s="0" t="s">
        <v>9</v>
      </c>
      <c r="J42" s="0" t="str">
        <f aca="false">"352-363"</f>
        <v>352-363</v>
      </c>
      <c r="K42" s="0" t="str">
        <f aca="false">"0.96"</f>
        <v>0.96</v>
      </c>
      <c r="L42" s="0" t="str">
        <f aca="false">"12.93"</f>
        <v>12.93</v>
      </c>
      <c r="M42" s="0" t="str">
        <f aca="false">"44.6"</f>
        <v>44.6</v>
      </c>
    </row>
    <row r="43" customFormat="false" ht="12.8" hidden="false" customHeight="false" outlineLevel="0" collapsed="false">
      <c r="A43" s="0" t="s">
        <v>1877</v>
      </c>
      <c r="B43" s="0" t="s">
        <v>13</v>
      </c>
      <c r="C43" s="0" t="str">
        <f aca="false">"205-216"</f>
        <v>205-216</v>
      </c>
      <c r="D43" s="0" t="s">
        <v>24</v>
      </c>
      <c r="E43" s="0" t="str">
        <f aca="false">"153-164"</f>
        <v>153-164</v>
      </c>
      <c r="F43" s="0" t="s">
        <v>1915</v>
      </c>
      <c r="G43" s="0" t="s">
        <v>9</v>
      </c>
      <c r="H43" s="0" t="str">
        <f aca="false">"230-241"</f>
        <v>230-241</v>
      </c>
      <c r="I43" s="0" t="s">
        <v>9</v>
      </c>
      <c r="J43" s="0" t="str">
        <f aca="false">"417-428"</f>
        <v>417-428</v>
      </c>
      <c r="K43" s="0" t="str">
        <f aca="false">"1.03"</f>
        <v>1.03</v>
      </c>
      <c r="L43" s="0" t="str">
        <f aca="false">"12.92"</f>
        <v>12.92</v>
      </c>
      <c r="M43" s="0" t="str">
        <f aca="false">"30.4"</f>
        <v>30.4</v>
      </c>
    </row>
    <row r="44" customFormat="false" ht="12.8" hidden="false" customHeight="false" outlineLevel="0" collapsed="false">
      <c r="A44" s="0" t="s">
        <v>1877</v>
      </c>
      <c r="B44" s="0" t="s">
        <v>13</v>
      </c>
      <c r="C44" s="0" t="str">
        <f aca="false">"212-223"</f>
        <v>212-223</v>
      </c>
      <c r="D44" s="0" t="s">
        <v>24</v>
      </c>
      <c r="E44" s="0" t="str">
        <f aca="false">"160-171"</f>
        <v>160-171</v>
      </c>
      <c r="F44" s="0" t="s">
        <v>1916</v>
      </c>
      <c r="G44" s="0" t="s">
        <v>71</v>
      </c>
      <c r="H44" s="0" t="str">
        <f aca="false">"41-52"</f>
        <v>41-52</v>
      </c>
      <c r="I44" s="0" t="s">
        <v>71</v>
      </c>
      <c r="J44" s="0" t="str">
        <f aca="false">"99-110"</f>
        <v>99-110</v>
      </c>
      <c r="K44" s="0" t="str">
        <f aca="false">"0.93"</f>
        <v>0.93</v>
      </c>
      <c r="L44" s="0" t="str">
        <f aca="false">"12.73"</f>
        <v>12.73</v>
      </c>
      <c r="M44" s="0" t="str">
        <f aca="false">"29.4"</f>
        <v>29.4</v>
      </c>
    </row>
    <row r="45" customFormat="false" ht="12.8" hidden="false" customHeight="false" outlineLevel="0" collapsed="false">
      <c r="A45" s="0" t="s">
        <v>1877</v>
      </c>
      <c r="B45" s="0" t="s">
        <v>13</v>
      </c>
      <c r="C45" s="0" t="str">
        <f aca="false">"212-223"</f>
        <v>212-223</v>
      </c>
      <c r="D45" s="0" t="s">
        <v>24</v>
      </c>
      <c r="E45" s="0" t="str">
        <f aca="false">"160-171"</f>
        <v>160-171</v>
      </c>
      <c r="F45" s="0" t="s">
        <v>1917</v>
      </c>
      <c r="G45" s="0" t="s">
        <v>9</v>
      </c>
      <c r="H45" s="0" t="str">
        <f aca="false">"40-51"</f>
        <v>40-51</v>
      </c>
      <c r="I45" s="0" t="s">
        <v>9</v>
      </c>
      <c r="J45" s="0" t="str">
        <f aca="false">"88-99"</f>
        <v>88-99</v>
      </c>
      <c r="K45" s="0" t="str">
        <f aca="false">"0.53"</f>
        <v>0.53</v>
      </c>
      <c r="L45" s="0" t="str">
        <f aca="false">"12.77"</f>
        <v>12.77</v>
      </c>
      <c r="M45" s="0" t="str">
        <f aca="false">"34.0"</f>
        <v>34.0</v>
      </c>
    </row>
    <row r="46" customFormat="false" ht="12.8" hidden="false" customHeight="false" outlineLevel="0" collapsed="false">
      <c r="A46" s="0" t="s">
        <v>1877</v>
      </c>
      <c r="B46" s="0" t="s">
        <v>13</v>
      </c>
      <c r="C46" s="0" t="str">
        <f aca="false">"212-223"</f>
        <v>212-223</v>
      </c>
      <c r="D46" s="0" t="s">
        <v>24</v>
      </c>
      <c r="E46" s="0" t="str">
        <f aca="false">"160-171"</f>
        <v>160-171</v>
      </c>
      <c r="F46" s="0" t="s">
        <v>1918</v>
      </c>
      <c r="G46" s="0" t="s">
        <v>9</v>
      </c>
      <c r="H46" s="0" t="str">
        <f aca="false">"440-451"</f>
        <v>440-451</v>
      </c>
      <c r="I46" s="0" t="s">
        <v>9</v>
      </c>
      <c r="J46" s="0" t="str">
        <f aca="false">"258-269"</f>
        <v>258-269</v>
      </c>
      <c r="K46" s="0" t="str">
        <f aca="false">"0.77"</f>
        <v>0.77</v>
      </c>
      <c r="L46" s="0" t="str">
        <f aca="false">"12.26"</f>
        <v>12.26</v>
      </c>
      <c r="M46" s="0" t="str">
        <f aca="false">"33.7"</f>
        <v>33.7</v>
      </c>
    </row>
    <row r="47" customFormat="false" ht="12.8" hidden="false" customHeight="false" outlineLevel="0" collapsed="false">
      <c r="A47" s="0" t="s">
        <v>1877</v>
      </c>
      <c r="B47" s="0" t="s">
        <v>13</v>
      </c>
      <c r="C47" s="0" t="str">
        <f aca="false">"208-219"</f>
        <v>208-219</v>
      </c>
      <c r="D47" s="0" t="s">
        <v>24</v>
      </c>
      <c r="E47" s="0" t="str">
        <f aca="false">"153-164"</f>
        <v>153-164</v>
      </c>
      <c r="F47" s="0" t="s">
        <v>1919</v>
      </c>
      <c r="G47" s="0" t="s">
        <v>9</v>
      </c>
      <c r="H47" s="0" t="str">
        <f aca="false">"44-55"</f>
        <v>44-55</v>
      </c>
      <c r="I47" s="0" t="s">
        <v>9</v>
      </c>
      <c r="J47" s="0" t="str">
        <f aca="false">"153-164"</f>
        <v>153-164</v>
      </c>
      <c r="K47" s="0" t="str">
        <f aca="false">"0.89"</f>
        <v>0.89</v>
      </c>
      <c r="L47" s="0" t="str">
        <f aca="false">"14.20"</f>
        <v>14.20</v>
      </c>
      <c r="M47" s="0" t="str">
        <f aca="false">"31.1"</f>
        <v>31.1</v>
      </c>
    </row>
    <row r="48" customFormat="false" ht="12.8" hidden="false" customHeight="false" outlineLevel="0" collapsed="false">
      <c r="A48" s="0" t="s">
        <v>1877</v>
      </c>
      <c r="B48" s="0" t="s">
        <v>13</v>
      </c>
      <c r="C48" s="0" t="str">
        <f aca="false">"205-216"</f>
        <v>205-216</v>
      </c>
      <c r="D48" s="0" t="s">
        <v>24</v>
      </c>
      <c r="E48" s="0" t="str">
        <f aca="false">"153-164"</f>
        <v>153-164</v>
      </c>
      <c r="F48" s="0" t="s">
        <v>1920</v>
      </c>
      <c r="G48" s="0" t="s">
        <v>9</v>
      </c>
      <c r="H48" s="0" t="str">
        <f aca="false">"92-103"</f>
        <v>92-103</v>
      </c>
      <c r="I48" s="0" t="s">
        <v>9</v>
      </c>
      <c r="J48" s="0" t="str">
        <f aca="false">"13-24"</f>
        <v>13-24</v>
      </c>
      <c r="K48" s="0" t="str">
        <f aca="false">"0.81"</f>
        <v>0.81</v>
      </c>
      <c r="L48" s="0" t="str">
        <f aca="false">"13.66"</f>
        <v>13.66</v>
      </c>
      <c r="M48" s="0" t="str">
        <f aca="false">"40.5"</f>
        <v>40.5</v>
      </c>
    </row>
    <row r="49" customFormat="false" ht="12.8" hidden="false" customHeight="false" outlineLevel="0" collapsed="false">
      <c r="A49" s="0" t="s">
        <v>1877</v>
      </c>
      <c r="B49" s="0" t="s">
        <v>13</v>
      </c>
      <c r="C49" s="0" t="str">
        <f aca="false">"209-220"</f>
        <v>209-220</v>
      </c>
      <c r="D49" s="0" t="s">
        <v>24</v>
      </c>
      <c r="E49" s="0" t="str">
        <f aca="false">"156-167"</f>
        <v>156-167</v>
      </c>
      <c r="F49" s="0" t="s">
        <v>1921</v>
      </c>
      <c r="G49" s="0" t="s">
        <v>9</v>
      </c>
      <c r="H49" s="0" t="str">
        <f aca="false">"42-53"</f>
        <v>42-53</v>
      </c>
      <c r="I49" s="0" t="s">
        <v>9</v>
      </c>
      <c r="J49" s="0" t="str">
        <f aca="false">"118-129"</f>
        <v>118-129</v>
      </c>
      <c r="K49" s="0" t="str">
        <f aca="false">"1.12"</f>
        <v>1.12</v>
      </c>
      <c r="L49" s="0" t="str">
        <f aca="false">"12.24"</f>
        <v>12.24</v>
      </c>
      <c r="M49" s="0" t="str">
        <f aca="false">"37.0"</f>
        <v>37.0</v>
      </c>
    </row>
    <row r="50" customFormat="false" ht="12.8" hidden="false" customHeight="false" outlineLevel="0" collapsed="false">
      <c r="A50" s="0" t="s">
        <v>1877</v>
      </c>
      <c r="B50" s="0" t="s">
        <v>13</v>
      </c>
      <c r="C50" s="0" t="str">
        <f aca="false">"208-219"</f>
        <v>208-219</v>
      </c>
      <c r="D50" s="0" t="s">
        <v>24</v>
      </c>
      <c r="E50" s="0" t="str">
        <f aca="false">"153-164"</f>
        <v>153-164</v>
      </c>
      <c r="F50" s="0" t="s">
        <v>1922</v>
      </c>
      <c r="G50" s="0" t="s">
        <v>13</v>
      </c>
      <c r="H50" s="0" t="str">
        <f aca="false">"9-20"</f>
        <v>9-20</v>
      </c>
      <c r="I50" s="0" t="s">
        <v>13</v>
      </c>
      <c r="J50" s="0" t="str">
        <f aca="false">"72-83"</f>
        <v>72-83</v>
      </c>
      <c r="K50" s="0" t="str">
        <f aca="false">"0.65"</f>
        <v>0.65</v>
      </c>
      <c r="L50" s="0" t="str">
        <f aca="false">"13.89"</f>
        <v>13.89</v>
      </c>
      <c r="M50" s="0" t="str">
        <f aca="false">"37.9"</f>
        <v>37.9</v>
      </c>
    </row>
    <row r="51" customFormat="false" ht="12.8" hidden="false" customHeight="false" outlineLevel="0" collapsed="false">
      <c r="A51" s="0" t="s">
        <v>1877</v>
      </c>
      <c r="B51" s="0" t="s">
        <v>13</v>
      </c>
      <c r="C51" s="0" t="str">
        <f aca="false">"209-220"</f>
        <v>209-220</v>
      </c>
      <c r="D51" s="0" t="s">
        <v>24</v>
      </c>
      <c r="E51" s="0" t="str">
        <f aca="false">"154-165"</f>
        <v>154-165</v>
      </c>
      <c r="F51" s="0" t="s">
        <v>1923</v>
      </c>
      <c r="G51" s="0" t="s">
        <v>9</v>
      </c>
      <c r="H51" s="0" t="str">
        <f aca="false">"168-179"</f>
        <v>168-179</v>
      </c>
      <c r="I51" s="0" t="s">
        <v>9</v>
      </c>
      <c r="J51" s="0" t="str">
        <f aca="false">"238-249"</f>
        <v>238-249</v>
      </c>
      <c r="K51" s="0" t="str">
        <f aca="false">"1.06"</f>
        <v>1.06</v>
      </c>
      <c r="L51" s="0" t="str">
        <f aca="false">"13.10"</f>
        <v>13.10</v>
      </c>
      <c r="M51" s="0" t="str">
        <f aca="false">"31.2"</f>
        <v>31.2</v>
      </c>
    </row>
    <row r="52" customFormat="false" ht="12.8" hidden="false" customHeight="false" outlineLevel="0" collapsed="false">
      <c r="A52" s="0" t="s">
        <v>1877</v>
      </c>
      <c r="B52" s="0" t="s">
        <v>13</v>
      </c>
      <c r="C52" s="0" t="str">
        <f aca="false">"212-223"</f>
        <v>212-223</v>
      </c>
      <c r="D52" s="0" t="s">
        <v>24</v>
      </c>
      <c r="E52" s="0" t="str">
        <f aca="false">"158-169"</f>
        <v>158-169</v>
      </c>
      <c r="F52" s="0" t="s">
        <v>1924</v>
      </c>
      <c r="G52" s="0" t="s">
        <v>9</v>
      </c>
      <c r="H52" s="0" t="str">
        <f aca="false">"9-20"</f>
        <v>9-20</v>
      </c>
      <c r="I52" s="0" t="s">
        <v>9</v>
      </c>
      <c r="J52" s="0" t="str">
        <f aca="false">"115-126"</f>
        <v>115-126</v>
      </c>
      <c r="K52" s="0" t="str">
        <f aca="false">"0.94"</f>
        <v>0.94</v>
      </c>
      <c r="L52" s="0" t="str">
        <f aca="false">"12.67"</f>
        <v>12.67</v>
      </c>
      <c r="M52" s="0" t="str">
        <f aca="false">"28.4"</f>
        <v>28.4</v>
      </c>
    </row>
    <row r="53" customFormat="false" ht="12.8" hidden="false" customHeight="false" outlineLevel="0" collapsed="false">
      <c r="A53" s="0" t="s">
        <v>1877</v>
      </c>
      <c r="B53" s="0" t="s">
        <v>13</v>
      </c>
      <c r="C53" s="0" t="str">
        <f aca="false">"212-223"</f>
        <v>212-223</v>
      </c>
      <c r="D53" s="0" t="s">
        <v>24</v>
      </c>
      <c r="E53" s="0" t="str">
        <f aca="false">"160-171"</f>
        <v>160-171</v>
      </c>
      <c r="F53" s="0" t="s">
        <v>1925</v>
      </c>
      <c r="G53" s="0" t="s">
        <v>9</v>
      </c>
      <c r="H53" s="0" t="str">
        <f aca="false">"78-89"</f>
        <v>78-89</v>
      </c>
      <c r="I53" s="0" t="s">
        <v>9</v>
      </c>
      <c r="J53" s="0" t="str">
        <f aca="false">"216-227"</f>
        <v>216-227</v>
      </c>
      <c r="K53" s="0" t="str">
        <f aca="false">"1.02"</f>
        <v>1.02</v>
      </c>
      <c r="L53" s="0" t="str">
        <f aca="false">"14.06"</f>
        <v>14.06</v>
      </c>
      <c r="M53" s="0" t="str">
        <f aca="false">"44.6"</f>
        <v>44.6</v>
      </c>
    </row>
    <row r="54" customFormat="false" ht="12.8" hidden="false" customHeight="false" outlineLevel="0" collapsed="false">
      <c r="A54" s="0" t="s">
        <v>1877</v>
      </c>
      <c r="B54" s="0" t="s">
        <v>13</v>
      </c>
      <c r="C54" s="0" t="str">
        <f aca="false">"212-223"</f>
        <v>212-223</v>
      </c>
      <c r="D54" s="0" t="s">
        <v>24</v>
      </c>
      <c r="E54" s="0" t="str">
        <f aca="false">"160-171"</f>
        <v>160-171</v>
      </c>
      <c r="F54" s="0" t="s">
        <v>1926</v>
      </c>
      <c r="G54" s="0" t="s">
        <v>9</v>
      </c>
      <c r="H54" s="0" t="str">
        <f aca="false">"91-102"</f>
        <v>91-102</v>
      </c>
      <c r="I54" s="0" t="s">
        <v>9</v>
      </c>
      <c r="J54" s="0" t="str">
        <f aca="false">"138-149"</f>
        <v>138-149</v>
      </c>
      <c r="K54" s="0" t="str">
        <f aca="false">"0.97"</f>
        <v>0.97</v>
      </c>
      <c r="L54" s="0" t="str">
        <f aca="false">"12.15"</f>
        <v>12.15</v>
      </c>
      <c r="M54" s="0" t="str">
        <f aca="false">"32.8"</f>
        <v>32.8</v>
      </c>
    </row>
    <row r="55" customFormat="false" ht="12.8" hidden="false" customHeight="false" outlineLevel="0" collapsed="false">
      <c r="A55" s="0" t="s">
        <v>1877</v>
      </c>
      <c r="B55" s="0" t="s">
        <v>13</v>
      </c>
      <c r="C55" s="0" t="str">
        <f aca="false">"209-220"</f>
        <v>209-220</v>
      </c>
      <c r="D55" s="0" t="s">
        <v>24</v>
      </c>
      <c r="E55" s="0" t="str">
        <f aca="false">"156-167"</f>
        <v>156-167</v>
      </c>
      <c r="F55" s="0" t="s">
        <v>1927</v>
      </c>
      <c r="G55" s="0" t="s">
        <v>71</v>
      </c>
      <c r="H55" s="0" t="str">
        <f aca="false">"107-118"</f>
        <v>107-118</v>
      </c>
      <c r="I55" s="0" t="s">
        <v>71</v>
      </c>
      <c r="J55" s="0" t="str">
        <f aca="false">"37-48"</f>
        <v>37-48</v>
      </c>
      <c r="K55" s="0" t="str">
        <f aca="false">"0.99"</f>
        <v>0.99</v>
      </c>
      <c r="L55" s="0" t="str">
        <f aca="false">"12.55"</f>
        <v>12.55</v>
      </c>
      <c r="M55" s="0" t="str">
        <f aca="false">"19.7"</f>
        <v>19.7</v>
      </c>
    </row>
    <row r="56" customFormat="false" ht="12.8" hidden="false" customHeight="false" outlineLevel="0" collapsed="false">
      <c r="A56" s="0" t="s">
        <v>1877</v>
      </c>
      <c r="B56" s="0" t="s">
        <v>13</v>
      </c>
      <c r="C56" s="0" t="str">
        <f aca="false">"206-217"</f>
        <v>206-217</v>
      </c>
      <c r="D56" s="0" t="s">
        <v>24</v>
      </c>
      <c r="E56" s="0" t="str">
        <f aca="false">"153-164"</f>
        <v>153-164</v>
      </c>
      <c r="F56" s="0" t="s">
        <v>1928</v>
      </c>
      <c r="G56" s="0" t="s">
        <v>9</v>
      </c>
      <c r="H56" s="0" t="str">
        <f aca="false">"755-766"</f>
        <v>755-766</v>
      </c>
      <c r="I56" s="0" t="s">
        <v>9</v>
      </c>
      <c r="J56" s="0" t="str">
        <f aca="false">"702-713"</f>
        <v>702-713</v>
      </c>
      <c r="K56" s="0" t="str">
        <f aca="false">"1.10"</f>
        <v>1.10</v>
      </c>
      <c r="L56" s="0" t="str">
        <f aca="false">"12.11"</f>
        <v>12.11</v>
      </c>
      <c r="M56" s="0" t="str">
        <f aca="false">"19.9"</f>
        <v>19.9</v>
      </c>
    </row>
    <row r="57" customFormat="false" ht="12.8" hidden="false" customHeight="false" outlineLevel="0" collapsed="false">
      <c r="A57" s="0" t="s">
        <v>1877</v>
      </c>
      <c r="B57" s="0" t="s">
        <v>13</v>
      </c>
      <c r="C57" s="0" t="str">
        <f aca="false">"212-223"</f>
        <v>212-223</v>
      </c>
      <c r="D57" s="0" t="s">
        <v>24</v>
      </c>
      <c r="E57" s="0" t="str">
        <f aca="false">"160-171"</f>
        <v>160-171</v>
      </c>
      <c r="F57" s="0" t="s">
        <v>1929</v>
      </c>
      <c r="G57" s="0" t="s">
        <v>13</v>
      </c>
      <c r="H57" s="0" t="str">
        <f aca="false">"22-33"</f>
        <v>22-33</v>
      </c>
      <c r="I57" s="0" t="s">
        <v>13</v>
      </c>
      <c r="J57" s="0" t="str">
        <f aca="false">"126-137"</f>
        <v>126-137</v>
      </c>
      <c r="K57" s="0" t="str">
        <f aca="false">"0.75"</f>
        <v>0.75</v>
      </c>
      <c r="L57" s="0" t="str">
        <f aca="false">"13.05"</f>
        <v>13.05</v>
      </c>
      <c r="M57" s="0" t="str">
        <f aca="false">"28.7"</f>
        <v>28.7</v>
      </c>
    </row>
    <row r="58" customFormat="false" ht="12.8" hidden="false" customHeight="false" outlineLevel="0" collapsed="false">
      <c r="A58" s="0" t="s">
        <v>1877</v>
      </c>
      <c r="B58" s="0" t="s">
        <v>13</v>
      </c>
      <c r="C58" s="0" t="str">
        <f aca="false">"209-220"</f>
        <v>209-220</v>
      </c>
      <c r="D58" s="0" t="s">
        <v>24</v>
      </c>
      <c r="E58" s="0" t="str">
        <f aca="false">"156-167"</f>
        <v>156-167</v>
      </c>
      <c r="F58" s="0" t="s">
        <v>1930</v>
      </c>
      <c r="G58" s="0" t="s">
        <v>9</v>
      </c>
      <c r="H58" s="0" t="str">
        <f aca="false">"23-34"</f>
        <v>23-34</v>
      </c>
      <c r="I58" s="0" t="s">
        <v>9</v>
      </c>
      <c r="J58" s="0" t="str">
        <f aca="false">"79-90"</f>
        <v>79-90</v>
      </c>
      <c r="K58" s="0" t="str">
        <f aca="false">"1.02"</f>
        <v>1.02</v>
      </c>
      <c r="L58" s="0" t="str">
        <f aca="false">"13.90"</f>
        <v>13.90</v>
      </c>
      <c r="M58" s="0" t="str">
        <f aca="false">"44.1"</f>
        <v>44.1</v>
      </c>
    </row>
    <row r="59" customFormat="false" ht="12.8" hidden="false" customHeight="false" outlineLevel="0" collapsed="false">
      <c r="A59" s="0" t="s">
        <v>1877</v>
      </c>
      <c r="B59" s="0" t="s">
        <v>13</v>
      </c>
      <c r="C59" s="0" t="str">
        <f aca="false">"209-220"</f>
        <v>209-220</v>
      </c>
      <c r="D59" s="0" t="s">
        <v>24</v>
      </c>
      <c r="E59" s="0" t="str">
        <f aca="false">"153-164"</f>
        <v>153-164</v>
      </c>
      <c r="F59" s="0" t="s">
        <v>1931</v>
      </c>
      <c r="G59" s="0" t="s">
        <v>9</v>
      </c>
      <c r="H59" s="0" t="str">
        <f aca="false">"86-97"</f>
        <v>86-97</v>
      </c>
      <c r="I59" s="0" t="s">
        <v>9</v>
      </c>
      <c r="J59" s="0" t="str">
        <f aca="false">"49-60"</f>
        <v>49-60</v>
      </c>
      <c r="K59" s="0" t="str">
        <f aca="false">"0.97"</f>
        <v>0.97</v>
      </c>
      <c r="L59" s="0" t="str">
        <f aca="false">"12.09"</f>
        <v>12.09</v>
      </c>
      <c r="M59" s="0" t="str">
        <f aca="false">"37.1"</f>
        <v>37.1</v>
      </c>
    </row>
    <row r="60" customFormat="false" ht="12.8" hidden="false" customHeight="false" outlineLevel="0" collapsed="false">
      <c r="A60" s="0" t="s">
        <v>1877</v>
      </c>
      <c r="B60" s="0" t="s">
        <v>13</v>
      </c>
      <c r="C60" s="0" t="str">
        <f aca="false">"209-220"</f>
        <v>209-220</v>
      </c>
      <c r="D60" s="0" t="s">
        <v>24</v>
      </c>
      <c r="E60" s="0" t="str">
        <f aca="false">"156-167"</f>
        <v>156-167</v>
      </c>
      <c r="F60" s="0" t="s">
        <v>1932</v>
      </c>
      <c r="G60" s="0" t="s">
        <v>9</v>
      </c>
      <c r="H60" s="0" t="str">
        <f aca="false">"107-118"</f>
        <v>107-118</v>
      </c>
      <c r="I60" s="0" t="s">
        <v>9</v>
      </c>
      <c r="J60" s="0" t="str">
        <f aca="false">"49-60"</f>
        <v>49-60</v>
      </c>
      <c r="K60" s="0" t="str">
        <f aca="false">"1.24"</f>
        <v>1.24</v>
      </c>
      <c r="L60" s="0" t="str">
        <f aca="false">"12.71"</f>
        <v>12.71</v>
      </c>
      <c r="M60" s="0" t="str">
        <f aca="false">"45.8"</f>
        <v>45.8</v>
      </c>
    </row>
    <row r="61" customFormat="false" ht="12.8" hidden="false" customHeight="false" outlineLevel="0" collapsed="false">
      <c r="A61" s="0" t="s">
        <v>1877</v>
      </c>
      <c r="B61" s="0" t="s">
        <v>13</v>
      </c>
      <c r="C61" s="0" t="str">
        <f aca="false">"209-220"</f>
        <v>209-220</v>
      </c>
      <c r="D61" s="0" t="s">
        <v>24</v>
      </c>
      <c r="E61" s="0" t="str">
        <f aca="false">"156-167"</f>
        <v>156-167</v>
      </c>
      <c r="F61" s="0" t="s">
        <v>1933</v>
      </c>
      <c r="G61" s="0" t="s">
        <v>70</v>
      </c>
      <c r="H61" s="0" t="str">
        <f aca="false">"598-609"</f>
        <v>598-609</v>
      </c>
      <c r="I61" s="0" t="s">
        <v>70</v>
      </c>
      <c r="J61" s="0" t="str">
        <f aca="false">"359-370"</f>
        <v>359-370</v>
      </c>
      <c r="K61" s="0" t="str">
        <f aca="false">"0.78"</f>
        <v>0.78</v>
      </c>
      <c r="L61" s="0" t="str">
        <f aca="false">"12.25"</f>
        <v>12.25</v>
      </c>
      <c r="M61" s="0" t="str">
        <f aca="false">"33.5"</f>
        <v>33.5</v>
      </c>
    </row>
    <row r="62" customFormat="false" ht="12.8" hidden="false" customHeight="false" outlineLevel="0" collapsed="false">
      <c r="A62" s="0" t="s">
        <v>1877</v>
      </c>
      <c r="B62" s="0" t="s">
        <v>13</v>
      </c>
      <c r="C62" s="0" t="str">
        <f aca="false">"209-220"</f>
        <v>209-220</v>
      </c>
      <c r="D62" s="0" t="s">
        <v>24</v>
      </c>
      <c r="E62" s="0" t="str">
        <f aca="false">"157-168"</f>
        <v>157-168</v>
      </c>
      <c r="F62" s="0" t="s">
        <v>1934</v>
      </c>
      <c r="G62" s="0" t="s">
        <v>9</v>
      </c>
      <c r="H62" s="0" t="str">
        <f aca="false">"28-39"</f>
        <v>28-39</v>
      </c>
      <c r="I62" s="0" t="s">
        <v>13</v>
      </c>
      <c r="J62" s="0" t="str">
        <f aca="false">"28-39"</f>
        <v>28-39</v>
      </c>
      <c r="K62" s="0" t="str">
        <f aca="false">"0.53"</f>
        <v>0.53</v>
      </c>
      <c r="L62" s="0" t="str">
        <f aca="false">"12.43"</f>
        <v>12.43</v>
      </c>
      <c r="M62" s="0" t="str">
        <f aca="false">"38.6"</f>
        <v>38.6</v>
      </c>
    </row>
    <row r="63" customFormat="false" ht="12.8" hidden="false" customHeight="false" outlineLevel="0" collapsed="false">
      <c r="A63" s="0" t="s">
        <v>1877</v>
      </c>
      <c r="B63" s="0" t="s">
        <v>13</v>
      </c>
      <c r="C63" s="0" t="str">
        <f aca="false">"208-219"</f>
        <v>208-219</v>
      </c>
      <c r="D63" s="0" t="s">
        <v>24</v>
      </c>
      <c r="E63" s="0" t="str">
        <f aca="false">"156-167"</f>
        <v>156-167</v>
      </c>
      <c r="F63" s="0" t="s">
        <v>1935</v>
      </c>
      <c r="G63" s="0" t="s">
        <v>9</v>
      </c>
      <c r="H63" s="0" t="str">
        <f aca="false">"138-149"</f>
        <v>138-149</v>
      </c>
      <c r="I63" s="0" t="s">
        <v>13</v>
      </c>
      <c r="J63" s="0" t="str">
        <f aca="false">"259-270"</f>
        <v>259-270</v>
      </c>
      <c r="K63" s="0" t="str">
        <f aca="false">"1.22"</f>
        <v>1.22</v>
      </c>
      <c r="L63" s="0" t="str">
        <f aca="false">"12.33"</f>
        <v>12.33</v>
      </c>
      <c r="M63" s="0" t="str">
        <f aca="false">"18.4"</f>
        <v>18.4</v>
      </c>
    </row>
    <row r="64" customFormat="false" ht="12.8" hidden="false" customHeight="false" outlineLevel="0" collapsed="false">
      <c r="A64" s="0" t="s">
        <v>1877</v>
      </c>
      <c r="B64" s="0" t="s">
        <v>13</v>
      </c>
      <c r="C64" s="0" t="str">
        <f aca="false">"209-220"</f>
        <v>209-220</v>
      </c>
      <c r="D64" s="0" t="s">
        <v>24</v>
      </c>
      <c r="E64" s="0" t="str">
        <f aca="false">"158-169"</f>
        <v>158-169</v>
      </c>
      <c r="F64" s="0" t="s">
        <v>1936</v>
      </c>
      <c r="G64" s="0" t="s">
        <v>9</v>
      </c>
      <c r="H64" s="0" t="str">
        <f aca="false">"120-131"</f>
        <v>120-131</v>
      </c>
      <c r="I64" s="0" t="s">
        <v>9</v>
      </c>
      <c r="J64" s="0" t="str">
        <f aca="false">"62-73"</f>
        <v>62-73</v>
      </c>
      <c r="K64" s="0" t="str">
        <f aca="false">"0.84"</f>
        <v>0.84</v>
      </c>
      <c r="L64" s="0" t="str">
        <f aca="false">"12.24"</f>
        <v>12.24</v>
      </c>
      <c r="M64" s="0" t="str">
        <f aca="false">"30.5"</f>
        <v>30.5</v>
      </c>
    </row>
    <row r="65" customFormat="false" ht="12.8" hidden="false" customHeight="false" outlineLevel="0" collapsed="false">
      <c r="A65" s="0" t="s">
        <v>1877</v>
      </c>
      <c r="B65" s="0" t="s">
        <v>13</v>
      </c>
      <c r="C65" s="0" t="str">
        <f aca="false">"208-219"</f>
        <v>208-219</v>
      </c>
      <c r="D65" s="0" t="s">
        <v>24</v>
      </c>
      <c r="E65" s="0" t="str">
        <f aca="false">"155-166"</f>
        <v>155-166</v>
      </c>
      <c r="F65" s="0" t="s">
        <v>1937</v>
      </c>
      <c r="G65" s="0" t="s">
        <v>9</v>
      </c>
      <c r="H65" s="0" t="str">
        <f aca="false">"92-103"</f>
        <v>92-103</v>
      </c>
      <c r="I65" s="0" t="s">
        <v>13</v>
      </c>
      <c r="J65" s="0" t="str">
        <f aca="false">"203-214"</f>
        <v>203-214</v>
      </c>
      <c r="K65" s="0" t="str">
        <f aca="false">"1.15"</f>
        <v>1.15</v>
      </c>
      <c r="L65" s="0" t="str">
        <f aca="false">"12.34"</f>
        <v>12.34</v>
      </c>
      <c r="M65" s="0" t="str">
        <f aca="false">"23.1"</f>
        <v>23.1</v>
      </c>
    </row>
    <row r="66" customFormat="false" ht="12.8" hidden="false" customHeight="false" outlineLevel="0" collapsed="false">
      <c r="A66" s="0" t="s">
        <v>1877</v>
      </c>
      <c r="B66" s="0" t="s">
        <v>13</v>
      </c>
      <c r="C66" s="0" t="str">
        <f aca="false">"209-220"</f>
        <v>209-220</v>
      </c>
      <c r="D66" s="0" t="s">
        <v>24</v>
      </c>
      <c r="E66" s="0" t="str">
        <f aca="false">"157-168"</f>
        <v>157-168</v>
      </c>
      <c r="F66" s="0" t="s">
        <v>1938</v>
      </c>
      <c r="G66" s="0" t="s">
        <v>13</v>
      </c>
      <c r="H66" s="0" t="str">
        <f aca="false">"160-171"</f>
        <v>160-171</v>
      </c>
      <c r="I66" s="0" t="s">
        <v>13</v>
      </c>
      <c r="J66" s="0" t="str">
        <f aca="false">"124-135"</f>
        <v>124-135</v>
      </c>
      <c r="K66" s="0" t="str">
        <f aca="false">"0.70"</f>
        <v>0.70</v>
      </c>
      <c r="L66" s="0" t="str">
        <f aca="false">"13.38"</f>
        <v>13.38</v>
      </c>
      <c r="M66" s="0" t="str">
        <f aca="false">"31.4"</f>
        <v>31.4</v>
      </c>
    </row>
    <row r="67" customFormat="false" ht="12.8" hidden="false" customHeight="false" outlineLevel="0" collapsed="false">
      <c r="A67" s="0" t="s">
        <v>1877</v>
      </c>
      <c r="B67" s="0" t="s">
        <v>13</v>
      </c>
      <c r="C67" s="0" t="str">
        <f aca="false">"212-223"</f>
        <v>212-223</v>
      </c>
      <c r="D67" s="0" t="s">
        <v>24</v>
      </c>
      <c r="E67" s="0" t="str">
        <f aca="false">"158-169"</f>
        <v>158-169</v>
      </c>
      <c r="F67" s="0" t="s">
        <v>1939</v>
      </c>
      <c r="G67" s="0" t="s">
        <v>9</v>
      </c>
      <c r="H67" s="0" t="str">
        <f aca="false">"33-44"</f>
        <v>33-44</v>
      </c>
      <c r="I67" s="0" t="s">
        <v>9</v>
      </c>
      <c r="J67" s="0" t="str">
        <f aca="false">"152-163"</f>
        <v>152-163</v>
      </c>
      <c r="K67" s="0" t="str">
        <f aca="false">"0.81"</f>
        <v>0.81</v>
      </c>
      <c r="L67" s="0" t="str">
        <f aca="false">"12.37"</f>
        <v>12.37</v>
      </c>
      <c r="M67" s="0" t="str">
        <f aca="false">"33.9"</f>
        <v>33.9</v>
      </c>
    </row>
    <row r="68" customFormat="false" ht="12.8" hidden="false" customHeight="false" outlineLevel="0" collapsed="false">
      <c r="A68" s="0" t="s">
        <v>1877</v>
      </c>
      <c r="B68" s="0" t="s">
        <v>13</v>
      </c>
      <c r="C68" s="0" t="str">
        <f aca="false">"212-223"</f>
        <v>212-223</v>
      </c>
      <c r="D68" s="0" t="s">
        <v>24</v>
      </c>
      <c r="E68" s="0" t="str">
        <f aca="false">"160-171"</f>
        <v>160-171</v>
      </c>
      <c r="F68" s="0" t="s">
        <v>1940</v>
      </c>
      <c r="G68" s="0" t="s">
        <v>13</v>
      </c>
      <c r="H68" s="0" t="str">
        <f aca="false">"132-143"</f>
        <v>132-143</v>
      </c>
      <c r="I68" s="0" t="s">
        <v>13</v>
      </c>
      <c r="J68" s="0" t="str">
        <f aca="false">"43-54"</f>
        <v>43-54</v>
      </c>
      <c r="K68" s="0" t="str">
        <f aca="false">"0.92"</f>
        <v>0.92</v>
      </c>
      <c r="L68" s="0" t="str">
        <f aca="false">"13.47"</f>
        <v>13.47</v>
      </c>
      <c r="M68" s="0" t="str">
        <f aca="false">"22.8"</f>
        <v>22.8</v>
      </c>
    </row>
    <row r="69" customFormat="false" ht="12.8" hidden="false" customHeight="false" outlineLevel="0" collapsed="false">
      <c r="A69" s="0" t="s">
        <v>1877</v>
      </c>
      <c r="B69" s="0" t="s">
        <v>13</v>
      </c>
      <c r="C69" s="0" t="str">
        <f aca="false">"205-216"</f>
        <v>205-216</v>
      </c>
      <c r="D69" s="0" t="s">
        <v>24</v>
      </c>
      <c r="E69" s="0" t="str">
        <f aca="false">"151-162"</f>
        <v>151-162</v>
      </c>
      <c r="F69" s="0" t="s">
        <v>1941</v>
      </c>
      <c r="G69" s="0" t="s">
        <v>1942</v>
      </c>
      <c r="H69" s="0" t="str">
        <f aca="false">"12-23"</f>
        <v>12-23</v>
      </c>
      <c r="I69" s="0" t="s">
        <v>1942</v>
      </c>
      <c r="J69" s="0" t="str">
        <f aca="false">"119-130"</f>
        <v>119-130</v>
      </c>
      <c r="K69" s="0" t="str">
        <f aca="false">"1.12"</f>
        <v>1.12</v>
      </c>
      <c r="L69" s="0" t="str">
        <f aca="false">"12.54"</f>
        <v>12.54</v>
      </c>
      <c r="M69" s="0" t="str">
        <f aca="false">"24.2"</f>
        <v>24.2</v>
      </c>
    </row>
    <row r="70" customFormat="false" ht="12.8" hidden="false" customHeight="false" outlineLevel="0" collapsed="false">
      <c r="A70" s="0" t="s">
        <v>1877</v>
      </c>
      <c r="B70" s="0" t="s">
        <v>13</v>
      </c>
      <c r="C70" s="0" t="str">
        <f aca="false">"212-223"</f>
        <v>212-223</v>
      </c>
      <c r="D70" s="0" t="s">
        <v>24</v>
      </c>
      <c r="E70" s="0" t="str">
        <f aca="false">"160-171"</f>
        <v>160-171</v>
      </c>
      <c r="F70" s="0" t="s">
        <v>1943</v>
      </c>
      <c r="G70" s="0" t="s">
        <v>9</v>
      </c>
      <c r="H70" s="0" t="str">
        <f aca="false">"85-96"</f>
        <v>85-96</v>
      </c>
      <c r="I70" s="0" t="s">
        <v>9</v>
      </c>
      <c r="J70" s="0" t="str">
        <f aca="false">"40-51"</f>
        <v>40-51</v>
      </c>
      <c r="K70" s="0" t="str">
        <f aca="false">"0.78"</f>
        <v>0.78</v>
      </c>
      <c r="L70" s="0" t="str">
        <f aca="false">"13.08"</f>
        <v>13.08</v>
      </c>
      <c r="M70" s="0" t="str">
        <f aca="false">"29.2"</f>
        <v>29.2</v>
      </c>
    </row>
    <row r="71" customFormat="false" ht="12.8" hidden="false" customHeight="false" outlineLevel="0" collapsed="false">
      <c r="A71" s="0" t="s">
        <v>1877</v>
      </c>
      <c r="B71" s="0" t="s">
        <v>13</v>
      </c>
      <c r="C71" s="0" t="str">
        <f aca="false">"212-223"</f>
        <v>212-223</v>
      </c>
      <c r="D71" s="0" t="s">
        <v>24</v>
      </c>
      <c r="E71" s="0" t="str">
        <f aca="false">"160-171"</f>
        <v>160-171</v>
      </c>
      <c r="F71" s="0" t="s">
        <v>1944</v>
      </c>
      <c r="G71" s="0" t="s">
        <v>9</v>
      </c>
      <c r="H71" s="0" t="str">
        <f aca="false">"139-150"</f>
        <v>139-150</v>
      </c>
      <c r="I71" s="0" t="s">
        <v>9</v>
      </c>
      <c r="J71" s="0" t="str">
        <f aca="false">"53-64"</f>
        <v>53-64</v>
      </c>
      <c r="K71" s="0" t="str">
        <f aca="false">"0.87"</f>
        <v>0.87</v>
      </c>
      <c r="L71" s="0" t="str">
        <f aca="false">"13.29"</f>
        <v>13.29</v>
      </c>
      <c r="M71" s="0" t="str">
        <f aca="false">"30.6"</f>
        <v>30.6</v>
      </c>
    </row>
    <row r="72" customFormat="false" ht="12.8" hidden="false" customHeight="false" outlineLevel="0" collapsed="false">
      <c r="A72" s="0" t="s">
        <v>1877</v>
      </c>
      <c r="B72" s="0" t="s">
        <v>13</v>
      </c>
      <c r="C72" s="0" t="str">
        <f aca="false">"209-220"</f>
        <v>209-220</v>
      </c>
      <c r="D72" s="0" t="s">
        <v>24</v>
      </c>
      <c r="E72" s="0" t="str">
        <f aca="false">"156-167"</f>
        <v>156-167</v>
      </c>
      <c r="F72" s="0" t="s">
        <v>1945</v>
      </c>
      <c r="G72" s="0" t="s">
        <v>9</v>
      </c>
      <c r="H72" s="0" t="str">
        <f aca="false">"480-491"</f>
        <v>480-491</v>
      </c>
      <c r="I72" s="0" t="s">
        <v>9</v>
      </c>
      <c r="J72" s="0" t="str">
        <f aca="false">"556-567"</f>
        <v>556-567</v>
      </c>
      <c r="K72" s="0" t="str">
        <f aca="false">"0.87"</f>
        <v>0.87</v>
      </c>
      <c r="L72" s="0" t="str">
        <f aca="false">"11.60"</f>
        <v>11.60</v>
      </c>
      <c r="M72" s="0" t="str">
        <f aca="false">"29.2"</f>
        <v>29.2</v>
      </c>
    </row>
    <row r="73" customFormat="false" ht="12.8" hidden="false" customHeight="false" outlineLevel="0" collapsed="false">
      <c r="A73" s="0" t="s">
        <v>1877</v>
      </c>
      <c r="B73" s="0" t="s">
        <v>13</v>
      </c>
      <c r="C73" s="0" t="str">
        <f aca="false">"209-220"</f>
        <v>209-220</v>
      </c>
      <c r="D73" s="0" t="s">
        <v>24</v>
      </c>
      <c r="E73" s="0" t="str">
        <f aca="false">"156-167"</f>
        <v>156-167</v>
      </c>
      <c r="F73" s="0" t="s">
        <v>1946</v>
      </c>
      <c r="G73" s="0" t="s">
        <v>9</v>
      </c>
      <c r="H73" s="0" t="str">
        <f aca="false">"70-81"</f>
        <v>70-81</v>
      </c>
      <c r="I73" s="0" t="s">
        <v>9</v>
      </c>
      <c r="J73" s="0" t="str">
        <f aca="false">"194-205"</f>
        <v>194-205</v>
      </c>
      <c r="K73" s="0" t="str">
        <f aca="false">"0.67"</f>
        <v>0.67</v>
      </c>
      <c r="L73" s="0" t="str">
        <f aca="false">"13.78"</f>
        <v>13.78</v>
      </c>
      <c r="M73" s="0" t="str">
        <f aca="false">"38.6"</f>
        <v>38.6</v>
      </c>
    </row>
    <row r="74" customFormat="false" ht="12.8" hidden="false" customHeight="false" outlineLevel="0" collapsed="false">
      <c r="A74" s="0" t="s">
        <v>1877</v>
      </c>
      <c r="B74" s="0" t="s">
        <v>13</v>
      </c>
      <c r="C74" s="0" t="str">
        <f aca="false">"212-223"</f>
        <v>212-223</v>
      </c>
      <c r="D74" s="0" t="s">
        <v>24</v>
      </c>
      <c r="E74" s="0" t="str">
        <f aca="false">"160-171"</f>
        <v>160-171</v>
      </c>
      <c r="F74" s="0" t="s">
        <v>1947</v>
      </c>
      <c r="G74" s="0" t="s">
        <v>13</v>
      </c>
      <c r="H74" s="0" t="str">
        <f aca="false">"90-101"</f>
        <v>90-101</v>
      </c>
      <c r="I74" s="0" t="s">
        <v>13</v>
      </c>
      <c r="J74" s="0" t="str">
        <f aca="false">"43-54"</f>
        <v>43-54</v>
      </c>
      <c r="K74" s="0" t="str">
        <f aca="false">"1.07"</f>
        <v>1.07</v>
      </c>
      <c r="L74" s="0" t="str">
        <f aca="false">"13.88"</f>
        <v>13.88</v>
      </c>
      <c r="M74" s="0" t="str">
        <f aca="false">"25.8"</f>
        <v>25.8</v>
      </c>
    </row>
    <row r="75" customFormat="false" ht="12.8" hidden="false" customHeight="false" outlineLevel="0" collapsed="false">
      <c r="A75" s="0" t="s">
        <v>1877</v>
      </c>
      <c r="B75" s="0" t="s">
        <v>13</v>
      </c>
      <c r="C75" s="0" t="str">
        <f aca="false">"208-219"</f>
        <v>208-219</v>
      </c>
      <c r="D75" s="0" t="s">
        <v>24</v>
      </c>
      <c r="E75" s="0" t="str">
        <f aca="false">"153-164"</f>
        <v>153-164</v>
      </c>
      <c r="F75" s="0" t="s">
        <v>1948</v>
      </c>
      <c r="G75" s="0" t="s">
        <v>9</v>
      </c>
      <c r="H75" s="0" t="str">
        <f aca="false">"48-59"</f>
        <v>48-59</v>
      </c>
      <c r="I75" s="0" t="s">
        <v>9</v>
      </c>
      <c r="J75" s="0" t="str">
        <f aca="false">"121-132"</f>
        <v>121-132</v>
      </c>
      <c r="K75" s="0" t="str">
        <f aca="false">"1.22"</f>
        <v>1.22</v>
      </c>
      <c r="L75" s="0" t="str">
        <f aca="false">"12.37"</f>
        <v>12.37</v>
      </c>
      <c r="M75" s="0" t="str">
        <f aca="false">"16.9"</f>
        <v>16.9</v>
      </c>
    </row>
    <row r="76" customFormat="false" ht="12.8" hidden="false" customHeight="false" outlineLevel="0" collapsed="false">
      <c r="A76" s="0" t="s">
        <v>1877</v>
      </c>
      <c r="B76" s="0" t="s">
        <v>13</v>
      </c>
      <c r="C76" s="0" t="str">
        <f aca="false">"209-220"</f>
        <v>209-220</v>
      </c>
      <c r="D76" s="0" t="s">
        <v>24</v>
      </c>
      <c r="E76" s="0" t="str">
        <f aca="false">"156-167"</f>
        <v>156-167</v>
      </c>
      <c r="F76" s="0" t="s">
        <v>1949</v>
      </c>
      <c r="G76" s="0" t="s">
        <v>9</v>
      </c>
      <c r="H76" s="0" t="str">
        <f aca="false">"141-152"</f>
        <v>141-152</v>
      </c>
      <c r="I76" s="0" t="s">
        <v>9</v>
      </c>
      <c r="J76" s="0" t="str">
        <f aca="false">"252-263"</f>
        <v>252-263</v>
      </c>
      <c r="K76" s="0" t="str">
        <f aca="false">"0.95"</f>
        <v>0.95</v>
      </c>
      <c r="L76" s="0" t="str">
        <f aca="false">"13.57"</f>
        <v>13.57</v>
      </c>
      <c r="M76" s="0" t="str">
        <f aca="false">"32.8"</f>
        <v>32.8</v>
      </c>
    </row>
    <row r="77" customFormat="false" ht="12.8" hidden="false" customHeight="false" outlineLevel="0" collapsed="false">
      <c r="A77" s="0" t="s">
        <v>1877</v>
      </c>
      <c r="B77" s="0" t="s">
        <v>13</v>
      </c>
      <c r="C77" s="0" t="str">
        <f aca="false">"205-216"</f>
        <v>205-216</v>
      </c>
      <c r="D77" s="0" t="s">
        <v>24</v>
      </c>
      <c r="E77" s="0" t="str">
        <f aca="false">"153-164"</f>
        <v>153-164</v>
      </c>
      <c r="F77" s="0" t="s">
        <v>1950</v>
      </c>
      <c r="G77" s="0" t="s">
        <v>13</v>
      </c>
      <c r="H77" s="0" t="str">
        <f aca="false">"73-84"</f>
        <v>73-84</v>
      </c>
      <c r="I77" s="0" t="s">
        <v>13</v>
      </c>
      <c r="J77" s="0" t="str">
        <f aca="false">"227-238"</f>
        <v>227-238</v>
      </c>
      <c r="K77" s="0" t="str">
        <f aca="false">"0.78"</f>
        <v>0.78</v>
      </c>
      <c r="L77" s="0" t="str">
        <f aca="false">"13.91"</f>
        <v>13.91</v>
      </c>
      <c r="M77" s="0" t="str">
        <f aca="false">"35.1"</f>
        <v>35.1</v>
      </c>
    </row>
    <row r="78" customFormat="false" ht="12.8" hidden="false" customHeight="false" outlineLevel="0" collapsed="false">
      <c r="A78" s="0" t="s">
        <v>1877</v>
      </c>
      <c r="B78" s="0" t="s">
        <v>13</v>
      </c>
      <c r="C78" s="0" t="str">
        <f aca="false">"209-220"</f>
        <v>209-220</v>
      </c>
      <c r="D78" s="0" t="s">
        <v>24</v>
      </c>
      <c r="E78" s="0" t="str">
        <f aca="false">"156-167"</f>
        <v>156-167</v>
      </c>
      <c r="F78" s="0" t="s">
        <v>1951</v>
      </c>
      <c r="G78" s="0" t="s">
        <v>9</v>
      </c>
      <c r="H78" s="0" t="str">
        <f aca="false">"313-324"</f>
        <v>313-324</v>
      </c>
      <c r="I78" s="0" t="s">
        <v>9</v>
      </c>
      <c r="J78" s="0" t="str">
        <f aca="false">"355-366"</f>
        <v>355-366</v>
      </c>
      <c r="K78" s="0" t="str">
        <f aca="false">"1.18"</f>
        <v>1.18</v>
      </c>
      <c r="L78" s="0" t="str">
        <f aca="false">"12.11"</f>
        <v>12.11</v>
      </c>
      <c r="M78" s="0" t="str">
        <f aca="false">"20.7"</f>
        <v>20.7</v>
      </c>
    </row>
    <row r="79" customFormat="false" ht="12.8" hidden="false" customHeight="false" outlineLevel="0" collapsed="false">
      <c r="A79" s="0" t="s">
        <v>1877</v>
      </c>
      <c r="B79" s="0" t="s">
        <v>13</v>
      </c>
      <c r="C79" s="0" t="str">
        <f aca="false">"205-216"</f>
        <v>205-216</v>
      </c>
      <c r="D79" s="0" t="s">
        <v>24</v>
      </c>
      <c r="E79" s="0" t="str">
        <f aca="false">"153-164"</f>
        <v>153-164</v>
      </c>
      <c r="F79" s="0" t="s">
        <v>1952</v>
      </c>
      <c r="G79" s="0" t="s">
        <v>9</v>
      </c>
      <c r="H79" s="0" t="str">
        <f aca="false">"67-78"</f>
        <v>67-78</v>
      </c>
      <c r="I79" s="0" t="s">
        <v>9</v>
      </c>
      <c r="J79" s="0" t="str">
        <f aca="false">"29-40"</f>
        <v>29-40</v>
      </c>
      <c r="K79" s="0" t="str">
        <f aca="false">"1.11"</f>
        <v>1.11</v>
      </c>
      <c r="L79" s="0" t="str">
        <f aca="false">"12.17"</f>
        <v>12.17</v>
      </c>
      <c r="M79" s="0" t="str">
        <f aca="false">"16.3"</f>
        <v>16.3</v>
      </c>
    </row>
    <row r="80" customFormat="false" ht="12.8" hidden="false" customHeight="false" outlineLevel="0" collapsed="false">
      <c r="A80" s="0" t="s">
        <v>1877</v>
      </c>
      <c r="B80" s="0" t="s">
        <v>13</v>
      </c>
      <c r="C80" s="0" t="str">
        <f aca="false">"212-223"</f>
        <v>212-223</v>
      </c>
      <c r="D80" s="0" t="s">
        <v>24</v>
      </c>
      <c r="E80" s="0" t="str">
        <f aca="false">"160-171"</f>
        <v>160-171</v>
      </c>
      <c r="F80" s="0" t="s">
        <v>1953</v>
      </c>
      <c r="G80" s="0" t="s">
        <v>13</v>
      </c>
      <c r="H80" s="0" t="str">
        <f aca="false">"15-26"</f>
        <v>15-26</v>
      </c>
      <c r="I80" s="0" t="s">
        <v>13</v>
      </c>
      <c r="J80" s="0" t="str">
        <f aca="false">"136-147"</f>
        <v>136-147</v>
      </c>
      <c r="K80" s="0" t="str">
        <f aca="false">"0.81"</f>
        <v>0.81</v>
      </c>
      <c r="L80" s="0" t="str">
        <f aca="false">"13.95"</f>
        <v>13.95</v>
      </c>
      <c r="M80" s="0" t="str">
        <f aca="false">"39.1"</f>
        <v>39.1</v>
      </c>
    </row>
    <row r="81" customFormat="false" ht="12.8" hidden="false" customHeight="false" outlineLevel="0" collapsed="false">
      <c r="A81" s="0" t="s">
        <v>1877</v>
      </c>
      <c r="B81" s="0" t="s">
        <v>13</v>
      </c>
      <c r="C81" s="0" t="str">
        <f aca="false">"212-223"</f>
        <v>212-223</v>
      </c>
      <c r="D81" s="0" t="s">
        <v>24</v>
      </c>
      <c r="E81" s="0" t="str">
        <f aca="false">"160-171"</f>
        <v>160-171</v>
      </c>
      <c r="F81" s="0" t="s">
        <v>1954</v>
      </c>
      <c r="G81" s="0" t="s">
        <v>9</v>
      </c>
      <c r="H81" s="0" t="str">
        <f aca="false">"79-90"</f>
        <v>79-90</v>
      </c>
      <c r="I81" s="0" t="s">
        <v>9</v>
      </c>
      <c r="J81" s="0" t="str">
        <f aca="false">"109-120"</f>
        <v>109-120</v>
      </c>
      <c r="K81" s="0" t="str">
        <f aca="false">"0.86"</f>
        <v>0.86</v>
      </c>
      <c r="L81" s="0" t="str">
        <f aca="false">"14.00"</f>
        <v>14.00</v>
      </c>
      <c r="M81" s="0" t="str">
        <f aca="false">"42.9"</f>
        <v>42.9</v>
      </c>
    </row>
    <row r="82" customFormat="false" ht="12.8" hidden="false" customHeight="false" outlineLevel="0" collapsed="false">
      <c r="A82" s="0" t="s">
        <v>1877</v>
      </c>
      <c r="B82" s="0" t="s">
        <v>13</v>
      </c>
      <c r="C82" s="0" t="str">
        <f aca="false">"214-225"</f>
        <v>214-225</v>
      </c>
      <c r="D82" s="0" t="s">
        <v>24</v>
      </c>
      <c r="E82" s="0" t="str">
        <f aca="false">"160-171"</f>
        <v>160-171</v>
      </c>
      <c r="F82" s="0" t="s">
        <v>1955</v>
      </c>
      <c r="G82" s="0" t="s">
        <v>9</v>
      </c>
      <c r="H82" s="0" t="str">
        <f aca="false">"121-132"</f>
        <v>121-132</v>
      </c>
      <c r="I82" s="0" t="s">
        <v>9</v>
      </c>
      <c r="J82" s="0" t="str">
        <f aca="false">"2-13"</f>
        <v>2-13</v>
      </c>
      <c r="K82" s="0" t="str">
        <f aca="false">"1.16"</f>
        <v>1.16</v>
      </c>
      <c r="L82" s="0" t="str">
        <f aca="false">"13.20"</f>
        <v>13.20</v>
      </c>
      <c r="M82" s="0" t="str">
        <f aca="false">"20.1"</f>
        <v>20.1</v>
      </c>
    </row>
    <row r="83" customFormat="false" ht="12.8" hidden="false" customHeight="false" outlineLevel="0" collapsed="false">
      <c r="A83" s="0" t="s">
        <v>1877</v>
      </c>
      <c r="B83" s="0" t="s">
        <v>13</v>
      </c>
      <c r="C83" s="0" t="str">
        <f aca="false">"215-226"</f>
        <v>215-226</v>
      </c>
      <c r="D83" s="0" t="s">
        <v>24</v>
      </c>
      <c r="E83" s="0" t="str">
        <f aca="false">"160-171"</f>
        <v>160-171</v>
      </c>
      <c r="F83" s="0" t="s">
        <v>1956</v>
      </c>
      <c r="G83" s="0" t="s">
        <v>9</v>
      </c>
      <c r="H83" s="0" t="str">
        <f aca="false">"237-248"</f>
        <v>237-248</v>
      </c>
      <c r="I83" s="0" t="s">
        <v>9</v>
      </c>
      <c r="J83" s="0" t="str">
        <f aca="false">"162-173"</f>
        <v>162-173</v>
      </c>
      <c r="K83" s="0" t="str">
        <f aca="false">"1.08"</f>
        <v>1.08</v>
      </c>
      <c r="L83" s="0" t="str">
        <f aca="false">"12.61"</f>
        <v>12.61</v>
      </c>
      <c r="M83" s="0" t="str">
        <f aca="false">"36.7"</f>
        <v>36.7</v>
      </c>
    </row>
    <row r="84" customFormat="false" ht="12.8" hidden="false" customHeight="false" outlineLevel="0" collapsed="false">
      <c r="A84" s="0" t="s">
        <v>1877</v>
      </c>
      <c r="B84" s="0" t="s">
        <v>13</v>
      </c>
      <c r="C84" s="0" t="str">
        <f aca="false">"209-220"</f>
        <v>209-220</v>
      </c>
      <c r="D84" s="0" t="s">
        <v>24</v>
      </c>
      <c r="E84" s="0" t="str">
        <f aca="false">"158-169"</f>
        <v>158-169</v>
      </c>
      <c r="F84" s="0" t="s">
        <v>1957</v>
      </c>
      <c r="G84" s="0" t="s">
        <v>62</v>
      </c>
      <c r="H84" s="0" t="str">
        <f aca="false">"4-15"</f>
        <v>4-15</v>
      </c>
      <c r="I84" s="0" t="s">
        <v>62</v>
      </c>
      <c r="J84" s="0" t="str">
        <f aca="false">"122-133"</f>
        <v>122-133</v>
      </c>
      <c r="K84" s="0" t="str">
        <f aca="false">"1.11"</f>
        <v>1.11</v>
      </c>
      <c r="L84" s="0" t="str">
        <f aca="false">"12.35"</f>
        <v>12.35</v>
      </c>
      <c r="M84" s="0" t="str">
        <f aca="false">"25.1"</f>
        <v>25.1</v>
      </c>
    </row>
    <row r="85" customFormat="false" ht="12.8" hidden="false" customHeight="false" outlineLevel="0" collapsed="false">
      <c r="A85" s="0" t="s">
        <v>1877</v>
      </c>
      <c r="B85" s="0" t="s">
        <v>13</v>
      </c>
      <c r="C85" s="0" t="str">
        <f aca="false">"209-220"</f>
        <v>209-220</v>
      </c>
      <c r="D85" s="0" t="s">
        <v>24</v>
      </c>
      <c r="E85" s="0" t="str">
        <f aca="false">"156-167"</f>
        <v>156-167</v>
      </c>
      <c r="F85" s="0" t="s">
        <v>1958</v>
      </c>
      <c r="G85" s="0" t="s">
        <v>24</v>
      </c>
      <c r="H85" s="0" t="str">
        <f aca="false">"190-201"</f>
        <v>190-201</v>
      </c>
      <c r="I85" s="0" t="s">
        <v>13</v>
      </c>
      <c r="J85" s="0" t="str">
        <f aca="false">"97-108"</f>
        <v>97-108</v>
      </c>
      <c r="K85" s="0" t="str">
        <f aca="false">"1.06"</f>
        <v>1.06</v>
      </c>
      <c r="L85" s="0" t="str">
        <f aca="false">"12.17"</f>
        <v>12.17</v>
      </c>
      <c r="M85" s="0" t="str">
        <f aca="false">"40.6"</f>
        <v>40.6</v>
      </c>
    </row>
    <row r="86" customFormat="false" ht="12.8" hidden="false" customHeight="false" outlineLevel="0" collapsed="false">
      <c r="A86" s="0" t="s">
        <v>1877</v>
      </c>
      <c r="B86" s="0" t="s">
        <v>13</v>
      </c>
      <c r="C86" s="0" t="str">
        <f aca="false">"208-219"</f>
        <v>208-219</v>
      </c>
      <c r="D86" s="0" t="s">
        <v>24</v>
      </c>
      <c r="E86" s="0" t="str">
        <f aca="false">"156-167"</f>
        <v>156-167</v>
      </c>
      <c r="F86" s="0" t="s">
        <v>1959</v>
      </c>
      <c r="G86" s="0" t="s">
        <v>9</v>
      </c>
      <c r="H86" s="0" t="str">
        <f aca="false">"67-78"</f>
        <v>67-78</v>
      </c>
      <c r="I86" s="0" t="s">
        <v>9</v>
      </c>
      <c r="J86" s="0" t="str">
        <f aca="false">"308-319"</f>
        <v>308-319</v>
      </c>
      <c r="K86" s="0" t="str">
        <f aca="false">"0.98"</f>
        <v>0.98</v>
      </c>
      <c r="L86" s="0" t="str">
        <f aca="false">"13.18"</f>
        <v>13.18</v>
      </c>
      <c r="M86" s="0" t="str">
        <f aca="false">"33.9"</f>
        <v>33.9</v>
      </c>
    </row>
    <row r="87" customFormat="false" ht="12.8" hidden="false" customHeight="false" outlineLevel="0" collapsed="false">
      <c r="A87" s="0" t="s">
        <v>1877</v>
      </c>
      <c r="B87" s="0" t="s">
        <v>13</v>
      </c>
      <c r="C87" s="0" t="str">
        <f aca="false">"210-221"</f>
        <v>210-221</v>
      </c>
      <c r="D87" s="0" t="s">
        <v>24</v>
      </c>
      <c r="E87" s="0" t="str">
        <f aca="false">"155-166"</f>
        <v>155-166</v>
      </c>
      <c r="F87" s="0" t="s">
        <v>1960</v>
      </c>
      <c r="G87" s="0" t="s">
        <v>9</v>
      </c>
      <c r="H87" s="0" t="str">
        <f aca="false">"322-333"</f>
        <v>322-333</v>
      </c>
      <c r="I87" s="0" t="s">
        <v>9</v>
      </c>
      <c r="J87" s="0" t="str">
        <f aca="false">"243-254"</f>
        <v>243-254</v>
      </c>
      <c r="K87" s="0" t="str">
        <f aca="false">"1.10"</f>
        <v>1.10</v>
      </c>
      <c r="L87" s="0" t="str">
        <f aca="false">"12.23"</f>
        <v>12.23</v>
      </c>
      <c r="M87" s="0" t="str">
        <f aca="false">"42.8"</f>
        <v>42.8</v>
      </c>
    </row>
    <row r="88" customFormat="false" ht="12.8" hidden="false" customHeight="false" outlineLevel="0" collapsed="false">
      <c r="A88" s="0" t="s">
        <v>1877</v>
      </c>
      <c r="B88" s="0" t="s">
        <v>13</v>
      </c>
      <c r="C88" s="0" t="str">
        <f aca="false">"209-220"</f>
        <v>209-220</v>
      </c>
      <c r="D88" s="0" t="s">
        <v>24</v>
      </c>
      <c r="E88" s="0" t="str">
        <f aca="false">"156-167"</f>
        <v>156-167</v>
      </c>
      <c r="F88" s="0" t="s">
        <v>1961</v>
      </c>
      <c r="G88" s="0" t="s">
        <v>9</v>
      </c>
      <c r="H88" s="0" t="str">
        <f aca="false">"346-357"</f>
        <v>346-357</v>
      </c>
      <c r="I88" s="0" t="s">
        <v>9</v>
      </c>
      <c r="J88" s="0" t="str">
        <f aca="false">"274-285"</f>
        <v>274-285</v>
      </c>
      <c r="K88" s="0" t="str">
        <f aca="false">"0.69"</f>
        <v>0.69</v>
      </c>
      <c r="L88" s="0" t="str">
        <f aca="false">"11.94"</f>
        <v>11.94</v>
      </c>
      <c r="M88" s="0" t="str">
        <f aca="false">"42.2"</f>
        <v>42.2</v>
      </c>
    </row>
    <row r="89" customFormat="false" ht="12.8" hidden="false" customHeight="false" outlineLevel="0" collapsed="false">
      <c r="A89" s="0" t="s">
        <v>1877</v>
      </c>
      <c r="B89" s="0" t="s">
        <v>13</v>
      </c>
      <c r="C89" s="0" t="str">
        <f aca="false">"209-220"</f>
        <v>209-220</v>
      </c>
      <c r="D89" s="0" t="s">
        <v>24</v>
      </c>
      <c r="E89" s="0" t="str">
        <f aca="false">"154-165"</f>
        <v>154-165</v>
      </c>
      <c r="F89" s="0" t="s">
        <v>1962</v>
      </c>
      <c r="G89" s="0" t="s">
        <v>9</v>
      </c>
      <c r="H89" s="0" t="str">
        <f aca="false">"74-85"</f>
        <v>74-85</v>
      </c>
      <c r="I89" s="0" t="s">
        <v>9</v>
      </c>
      <c r="J89" s="0" t="str">
        <f aca="false">"121-132"</f>
        <v>121-132</v>
      </c>
      <c r="K89" s="0" t="str">
        <f aca="false">"1.23"</f>
        <v>1.23</v>
      </c>
      <c r="L89" s="0" t="str">
        <f aca="false">"11.77"</f>
        <v>11.77</v>
      </c>
      <c r="M89" s="0" t="str">
        <f aca="false">"38.0"</f>
        <v>38.0</v>
      </c>
    </row>
    <row r="90" customFormat="false" ht="12.8" hidden="false" customHeight="false" outlineLevel="0" collapsed="false">
      <c r="A90" s="0" t="s">
        <v>1877</v>
      </c>
      <c r="B90" s="0" t="s">
        <v>13</v>
      </c>
      <c r="C90" s="0" t="str">
        <f aca="false">"209-220"</f>
        <v>209-220</v>
      </c>
      <c r="D90" s="0" t="s">
        <v>24</v>
      </c>
      <c r="E90" s="0" t="str">
        <f aca="false">"157-168"</f>
        <v>157-168</v>
      </c>
      <c r="F90" s="0" t="s">
        <v>1963</v>
      </c>
      <c r="G90" s="0" t="s">
        <v>9</v>
      </c>
      <c r="H90" s="0" t="str">
        <f aca="false">"121-132"</f>
        <v>121-132</v>
      </c>
      <c r="I90" s="0" t="s">
        <v>13</v>
      </c>
      <c r="J90" s="0" t="str">
        <f aca="false">"133-144"</f>
        <v>133-144</v>
      </c>
      <c r="K90" s="0" t="str">
        <f aca="false">"1.11"</f>
        <v>1.11</v>
      </c>
      <c r="L90" s="0" t="str">
        <f aca="false">"11.78"</f>
        <v>11.78</v>
      </c>
      <c r="M90" s="0" t="str">
        <f aca="false">"49.3"</f>
        <v>49.3</v>
      </c>
    </row>
    <row r="91" customFormat="false" ht="12.8" hidden="false" customHeight="false" outlineLevel="0" collapsed="false">
      <c r="A91" s="0" t="s">
        <v>1877</v>
      </c>
      <c r="B91" s="0" t="s">
        <v>13</v>
      </c>
      <c r="C91" s="0" t="str">
        <f aca="false">"209-220"</f>
        <v>209-220</v>
      </c>
      <c r="D91" s="0" t="s">
        <v>24</v>
      </c>
      <c r="E91" s="0" t="str">
        <f aca="false">"157-168"</f>
        <v>157-168</v>
      </c>
      <c r="F91" s="0" t="s">
        <v>1964</v>
      </c>
      <c r="G91" s="0" t="s">
        <v>13</v>
      </c>
      <c r="H91" s="0" t="str">
        <f aca="false">"167-178"</f>
        <v>167-178</v>
      </c>
      <c r="I91" s="0" t="s">
        <v>9</v>
      </c>
      <c r="J91" s="0" t="str">
        <f aca="false">"87-98"</f>
        <v>87-98</v>
      </c>
      <c r="K91" s="0" t="str">
        <f aca="false">"1.06"</f>
        <v>1.06</v>
      </c>
      <c r="L91" s="0" t="str">
        <f aca="false">"12.12"</f>
        <v>12.12</v>
      </c>
      <c r="M91" s="0" t="str">
        <f aca="false">"46.4"</f>
        <v>46.4</v>
      </c>
    </row>
    <row r="92" customFormat="false" ht="12.8" hidden="false" customHeight="false" outlineLevel="0" collapsed="false">
      <c r="A92" s="0" t="s">
        <v>1877</v>
      </c>
      <c r="B92" s="0" t="s">
        <v>13</v>
      </c>
      <c r="C92" s="0" t="str">
        <f aca="false">"214-225"</f>
        <v>214-225</v>
      </c>
      <c r="D92" s="0" t="s">
        <v>24</v>
      </c>
      <c r="E92" s="0" t="str">
        <f aca="false">"159-170"</f>
        <v>159-170</v>
      </c>
      <c r="F92" s="0" t="s">
        <v>1965</v>
      </c>
      <c r="G92" s="0" t="s">
        <v>9</v>
      </c>
      <c r="H92" s="0" t="str">
        <f aca="false">"329-340"</f>
        <v>329-340</v>
      </c>
      <c r="I92" s="0" t="s">
        <v>9</v>
      </c>
      <c r="J92" s="0" t="str">
        <f aca="false">"257-268"</f>
        <v>257-268</v>
      </c>
      <c r="K92" s="0" t="str">
        <f aca="false">"1.17"</f>
        <v>1.17</v>
      </c>
      <c r="L92" s="0" t="str">
        <f aca="false">"11.72"</f>
        <v>11.72</v>
      </c>
      <c r="M92" s="0" t="str">
        <f aca="false">"44.6"</f>
        <v>44.6</v>
      </c>
    </row>
    <row r="93" customFormat="false" ht="12.8" hidden="false" customHeight="false" outlineLevel="0" collapsed="false">
      <c r="A93" s="0" t="s">
        <v>1877</v>
      </c>
      <c r="B93" s="0" t="s">
        <v>13</v>
      </c>
      <c r="C93" s="0" t="str">
        <f aca="false">"214-225"</f>
        <v>214-225</v>
      </c>
      <c r="D93" s="0" t="s">
        <v>24</v>
      </c>
      <c r="E93" s="0" t="str">
        <f aca="false">"157-168"</f>
        <v>157-168</v>
      </c>
      <c r="F93" s="0" t="s">
        <v>1966</v>
      </c>
      <c r="G93" s="0" t="s">
        <v>9</v>
      </c>
      <c r="H93" s="0" t="str">
        <f aca="false">"218-229"</f>
        <v>218-229</v>
      </c>
      <c r="I93" s="0" t="s">
        <v>9</v>
      </c>
      <c r="J93" s="0" t="str">
        <f aca="false">"161-172"</f>
        <v>161-172</v>
      </c>
      <c r="K93" s="0" t="str">
        <f aca="false">"1.02"</f>
        <v>1.02</v>
      </c>
      <c r="L93" s="0" t="str">
        <f aca="false">"13.28"</f>
        <v>13.28</v>
      </c>
      <c r="M93" s="0" t="str">
        <f aca="false">"46.9"</f>
        <v>46.9</v>
      </c>
    </row>
    <row r="94" customFormat="false" ht="12.8" hidden="false" customHeight="false" outlineLevel="0" collapsed="false">
      <c r="A94" s="0" t="s">
        <v>1877</v>
      </c>
      <c r="B94" s="0" t="s">
        <v>13</v>
      </c>
      <c r="C94" s="0" t="str">
        <f aca="false">"208-219"</f>
        <v>208-219</v>
      </c>
      <c r="D94" s="0" t="s">
        <v>24</v>
      </c>
      <c r="E94" s="0" t="str">
        <f aca="false">"153-164"</f>
        <v>153-164</v>
      </c>
      <c r="F94" s="0" t="s">
        <v>1967</v>
      </c>
      <c r="G94" s="0" t="s">
        <v>13</v>
      </c>
      <c r="H94" s="0" t="str">
        <f aca="false">"67-78"</f>
        <v>67-78</v>
      </c>
      <c r="I94" s="0" t="s">
        <v>13</v>
      </c>
      <c r="J94" s="0" t="str">
        <f aca="false">"27-38"</f>
        <v>27-38</v>
      </c>
      <c r="K94" s="0" t="str">
        <f aca="false">"1.03"</f>
        <v>1.03</v>
      </c>
      <c r="L94" s="0" t="str">
        <f aca="false">"13.58"</f>
        <v>13.58</v>
      </c>
      <c r="M94" s="0" t="str">
        <f aca="false">"31.1"</f>
        <v>31.1</v>
      </c>
    </row>
    <row r="95" customFormat="false" ht="12.8" hidden="false" customHeight="false" outlineLevel="0" collapsed="false">
      <c r="A95" s="0" t="s">
        <v>1877</v>
      </c>
      <c r="B95" s="0" t="s">
        <v>13</v>
      </c>
      <c r="C95" s="0" t="str">
        <f aca="false">"209-220"</f>
        <v>209-220</v>
      </c>
      <c r="D95" s="0" t="s">
        <v>24</v>
      </c>
      <c r="E95" s="0" t="str">
        <f aca="false">"157-168"</f>
        <v>157-168</v>
      </c>
      <c r="F95" s="0" t="s">
        <v>1968</v>
      </c>
      <c r="G95" s="0" t="s">
        <v>9</v>
      </c>
      <c r="H95" s="0" t="str">
        <f aca="false">"115-126"</f>
        <v>115-126</v>
      </c>
      <c r="I95" s="0" t="s">
        <v>9</v>
      </c>
      <c r="J95" s="0" t="str">
        <f aca="false">"164-175"</f>
        <v>164-175</v>
      </c>
      <c r="K95" s="0" t="str">
        <f aca="false">"1.03"</f>
        <v>1.03</v>
      </c>
      <c r="L95" s="0" t="str">
        <f aca="false">"13.08"</f>
        <v>13.08</v>
      </c>
      <c r="M95" s="0" t="str">
        <f aca="false">"35.4"</f>
        <v>35.4</v>
      </c>
    </row>
    <row r="96" customFormat="false" ht="12.8" hidden="false" customHeight="false" outlineLevel="0" collapsed="false">
      <c r="A96" s="0" t="s">
        <v>1877</v>
      </c>
      <c r="B96" s="0" t="s">
        <v>13</v>
      </c>
      <c r="C96" s="0" t="str">
        <f aca="false">"205-216"</f>
        <v>205-216</v>
      </c>
      <c r="D96" s="0" t="s">
        <v>24</v>
      </c>
      <c r="E96" s="0" t="str">
        <f aca="false">"153-164"</f>
        <v>153-164</v>
      </c>
      <c r="F96" s="0" t="s">
        <v>1969</v>
      </c>
      <c r="G96" s="0" t="s">
        <v>9</v>
      </c>
      <c r="H96" s="0" t="str">
        <f aca="false">"65-76"</f>
        <v>65-76</v>
      </c>
      <c r="I96" s="0" t="s">
        <v>9</v>
      </c>
      <c r="J96" s="0" t="str">
        <f aca="false">"11-22"</f>
        <v>11-22</v>
      </c>
      <c r="K96" s="0" t="str">
        <f aca="false">"1.16"</f>
        <v>1.16</v>
      </c>
      <c r="L96" s="0" t="str">
        <f aca="false">"14.38"</f>
        <v>14.38</v>
      </c>
      <c r="M96" s="0" t="str">
        <f aca="false">"32.9"</f>
        <v>32.9</v>
      </c>
    </row>
    <row r="97" customFormat="false" ht="12.8" hidden="false" customHeight="false" outlineLevel="0" collapsed="false">
      <c r="A97" s="0" t="s">
        <v>1877</v>
      </c>
      <c r="B97" s="0" t="s">
        <v>13</v>
      </c>
      <c r="C97" s="0" t="str">
        <f aca="false">"209-220"</f>
        <v>209-220</v>
      </c>
      <c r="D97" s="0" t="s">
        <v>24</v>
      </c>
      <c r="E97" s="0" t="str">
        <f aca="false">"156-167"</f>
        <v>156-167</v>
      </c>
      <c r="F97" s="0" t="s">
        <v>1970</v>
      </c>
      <c r="G97" s="0" t="s">
        <v>9</v>
      </c>
      <c r="H97" s="0" t="str">
        <f aca="false">"32-43"</f>
        <v>32-43</v>
      </c>
      <c r="I97" s="0" t="s">
        <v>9</v>
      </c>
      <c r="J97" s="0" t="str">
        <f aca="false">"96-107"</f>
        <v>96-107</v>
      </c>
      <c r="K97" s="0" t="str">
        <f aca="false">"1.15"</f>
        <v>1.15</v>
      </c>
      <c r="L97" s="0" t="str">
        <f aca="false">"13.08"</f>
        <v>13.08</v>
      </c>
      <c r="M97" s="0" t="str">
        <f aca="false">"49.8"</f>
        <v>49.8</v>
      </c>
    </row>
    <row r="98" customFormat="false" ht="12.8" hidden="false" customHeight="false" outlineLevel="0" collapsed="false">
      <c r="A98" s="0" t="s">
        <v>1877</v>
      </c>
      <c r="B98" s="0" t="s">
        <v>13</v>
      </c>
      <c r="C98" s="0" t="str">
        <f aca="false">"209-220"</f>
        <v>209-220</v>
      </c>
      <c r="D98" s="0" t="s">
        <v>24</v>
      </c>
      <c r="E98" s="0" t="str">
        <f aca="false">"157-168"</f>
        <v>157-168</v>
      </c>
      <c r="F98" s="0" t="s">
        <v>1971</v>
      </c>
      <c r="G98" s="0" t="s">
        <v>9</v>
      </c>
      <c r="H98" s="0" t="str">
        <f aca="false">"33-44"</f>
        <v>33-44</v>
      </c>
      <c r="I98" s="0" t="s">
        <v>9</v>
      </c>
      <c r="J98" s="0" t="str">
        <f aca="false">"104-115"</f>
        <v>104-115</v>
      </c>
      <c r="K98" s="0" t="str">
        <f aca="false">"1.06"</f>
        <v>1.06</v>
      </c>
      <c r="L98" s="0" t="str">
        <f aca="false">"13.45"</f>
        <v>13.45</v>
      </c>
      <c r="M98" s="0" t="str">
        <f aca="false">"36.5"</f>
        <v>36.5</v>
      </c>
    </row>
    <row r="99" customFormat="false" ht="12.8" hidden="false" customHeight="false" outlineLevel="0" collapsed="false">
      <c r="A99" s="0" t="s">
        <v>1877</v>
      </c>
      <c r="B99" s="0" t="s">
        <v>13</v>
      </c>
      <c r="C99" s="0" t="str">
        <f aca="false">"209-220"</f>
        <v>209-220</v>
      </c>
      <c r="D99" s="0" t="s">
        <v>24</v>
      </c>
      <c r="E99" s="0" t="str">
        <f aca="false">"157-168"</f>
        <v>157-168</v>
      </c>
      <c r="F99" s="0" t="s">
        <v>1972</v>
      </c>
      <c r="G99" s="0" t="s">
        <v>9</v>
      </c>
      <c r="H99" s="0" t="str">
        <f aca="false">"152-163"</f>
        <v>152-163</v>
      </c>
      <c r="I99" s="0" t="s">
        <v>13</v>
      </c>
      <c r="J99" s="0" t="str">
        <f aca="false">"168-179"</f>
        <v>168-179</v>
      </c>
      <c r="K99" s="0" t="str">
        <f aca="false">"1.09"</f>
        <v>1.09</v>
      </c>
      <c r="L99" s="0" t="str">
        <f aca="false">"12.46"</f>
        <v>12.46</v>
      </c>
      <c r="M99" s="0" t="str">
        <f aca="false">"40.1"</f>
        <v>40.1</v>
      </c>
    </row>
    <row r="100" customFormat="false" ht="12.8" hidden="false" customHeight="false" outlineLevel="0" collapsed="false">
      <c r="A100" s="0" t="s">
        <v>1877</v>
      </c>
      <c r="B100" s="0" t="s">
        <v>13</v>
      </c>
      <c r="C100" s="0" t="str">
        <f aca="false">"205-216"</f>
        <v>205-216</v>
      </c>
      <c r="D100" s="0" t="s">
        <v>24</v>
      </c>
      <c r="E100" s="0" t="str">
        <f aca="false">"151-162"</f>
        <v>151-162</v>
      </c>
      <c r="F100" s="0" t="s">
        <v>1973</v>
      </c>
      <c r="G100" s="0" t="s">
        <v>13</v>
      </c>
      <c r="H100" s="0" t="str">
        <f aca="false">"14-25"</f>
        <v>14-25</v>
      </c>
      <c r="I100" s="0" t="s">
        <v>13</v>
      </c>
      <c r="J100" s="0" t="str">
        <f aca="false">"79-90"</f>
        <v>79-90</v>
      </c>
      <c r="K100" s="0" t="str">
        <f aca="false">"1.12"</f>
        <v>1.12</v>
      </c>
      <c r="L100" s="0" t="str">
        <f aca="false">"12.55"</f>
        <v>12.55</v>
      </c>
      <c r="M100" s="0" t="str">
        <f aca="false">"27.6"</f>
        <v>27.6</v>
      </c>
    </row>
    <row r="101" customFormat="false" ht="12.8" hidden="false" customHeight="false" outlineLevel="0" collapsed="false">
      <c r="A101" s="0" t="s">
        <v>1877</v>
      </c>
      <c r="B101" s="0" t="s">
        <v>13</v>
      </c>
      <c r="C101" s="0" t="str">
        <f aca="false">"215-226"</f>
        <v>215-226</v>
      </c>
      <c r="D101" s="0" t="s">
        <v>24</v>
      </c>
      <c r="E101" s="0" t="str">
        <f aca="false">"158-169"</f>
        <v>158-169</v>
      </c>
      <c r="F101" s="0" t="s">
        <v>1974</v>
      </c>
      <c r="G101" s="0" t="s">
        <v>9</v>
      </c>
      <c r="H101" s="0" t="str">
        <f aca="false">"224-235"</f>
        <v>224-235</v>
      </c>
      <c r="I101" s="0" t="s">
        <v>9</v>
      </c>
      <c r="J101" s="0" t="str">
        <f aca="false">"170-181"</f>
        <v>170-181</v>
      </c>
      <c r="K101" s="0" t="str">
        <f aca="false">"1.22"</f>
        <v>1.22</v>
      </c>
      <c r="L101" s="0" t="str">
        <f aca="false">"14.29"</f>
        <v>14.29</v>
      </c>
      <c r="M101" s="0" t="str">
        <f aca="false">"40.5"</f>
        <v>40.5</v>
      </c>
    </row>
    <row r="102" customFormat="false" ht="12.8" hidden="false" customHeight="false" outlineLevel="0" collapsed="false">
      <c r="A102" s="0" t="s">
        <v>1877</v>
      </c>
      <c r="B102" s="0" t="s">
        <v>13</v>
      </c>
      <c r="C102" s="0" t="str">
        <f aca="false">"212-223"</f>
        <v>212-223</v>
      </c>
      <c r="D102" s="0" t="s">
        <v>24</v>
      </c>
      <c r="E102" s="0" t="str">
        <f aca="false">"160-171"</f>
        <v>160-171</v>
      </c>
      <c r="F102" s="0" t="s">
        <v>1975</v>
      </c>
      <c r="G102" s="0" t="s">
        <v>9</v>
      </c>
      <c r="H102" s="0" t="str">
        <f aca="false">"71-82"</f>
        <v>71-82</v>
      </c>
      <c r="I102" s="0" t="s">
        <v>9</v>
      </c>
      <c r="J102" s="0" t="str">
        <f aca="false">"29-40"</f>
        <v>29-40</v>
      </c>
      <c r="K102" s="0" t="str">
        <f aca="false">"1.19"</f>
        <v>1.19</v>
      </c>
      <c r="L102" s="0" t="str">
        <f aca="false">"13.34"</f>
        <v>13.34</v>
      </c>
      <c r="M102" s="0" t="str">
        <f aca="false">"15.4"</f>
        <v>15.4</v>
      </c>
    </row>
    <row r="103" customFormat="false" ht="12.8" hidden="false" customHeight="false" outlineLevel="0" collapsed="false">
      <c r="A103" s="0" t="s">
        <v>1877</v>
      </c>
      <c r="B103" s="0" t="s">
        <v>13</v>
      </c>
      <c r="C103" s="0" t="str">
        <f aca="false">"208-219"</f>
        <v>208-219</v>
      </c>
      <c r="D103" s="0" t="s">
        <v>24</v>
      </c>
      <c r="E103" s="0" t="str">
        <f aca="false">"156-167"</f>
        <v>156-167</v>
      </c>
      <c r="F103" s="0" t="s">
        <v>1976</v>
      </c>
      <c r="G103" s="0" t="s">
        <v>9</v>
      </c>
      <c r="H103" s="0" t="str">
        <f aca="false">"452-463"</f>
        <v>452-463</v>
      </c>
      <c r="I103" s="0" t="s">
        <v>9</v>
      </c>
      <c r="J103" s="0" t="str">
        <f aca="false">"482-493"</f>
        <v>482-493</v>
      </c>
      <c r="K103" s="0" t="str">
        <f aca="false">"1.12"</f>
        <v>1.12</v>
      </c>
      <c r="L103" s="0" t="str">
        <f aca="false">"11.95"</f>
        <v>11.95</v>
      </c>
      <c r="M103" s="0" t="str">
        <f aca="false">"36.7"</f>
        <v>36.7</v>
      </c>
    </row>
    <row r="104" customFormat="false" ht="12.8" hidden="false" customHeight="false" outlineLevel="0" collapsed="false">
      <c r="A104" s="0" t="s">
        <v>1877</v>
      </c>
      <c r="B104" s="0" t="s">
        <v>13</v>
      </c>
      <c r="C104" s="0" t="str">
        <f aca="false">"214-225"</f>
        <v>214-225</v>
      </c>
      <c r="D104" s="0" t="s">
        <v>24</v>
      </c>
      <c r="E104" s="0" t="str">
        <f aca="false">"160-171"</f>
        <v>160-171</v>
      </c>
      <c r="F104" s="0" t="s">
        <v>1977</v>
      </c>
      <c r="G104" s="0" t="s">
        <v>9</v>
      </c>
      <c r="H104" s="0" t="str">
        <f aca="false">"448-459"</f>
        <v>448-459</v>
      </c>
      <c r="I104" s="0" t="s">
        <v>9</v>
      </c>
      <c r="J104" s="0" t="str">
        <f aca="false">"284-295"</f>
        <v>284-295</v>
      </c>
      <c r="K104" s="0" t="str">
        <f aca="false">"1.21"</f>
        <v>1.21</v>
      </c>
      <c r="L104" s="0" t="str">
        <f aca="false">"13.28"</f>
        <v>13.28</v>
      </c>
      <c r="M104" s="0" t="str">
        <f aca="false">"26.6"</f>
        <v>26.6</v>
      </c>
    </row>
    <row r="105" customFormat="false" ht="12.8" hidden="false" customHeight="false" outlineLevel="0" collapsed="false">
      <c r="A105" s="0" t="s">
        <v>1877</v>
      </c>
      <c r="B105" s="0" t="s">
        <v>13</v>
      </c>
      <c r="C105" s="0" t="str">
        <f aca="false">"208-219"</f>
        <v>208-219</v>
      </c>
      <c r="D105" s="0" t="s">
        <v>24</v>
      </c>
      <c r="E105" s="0" t="str">
        <f aca="false">"157-168"</f>
        <v>157-168</v>
      </c>
      <c r="F105" s="0" t="s">
        <v>1978</v>
      </c>
      <c r="G105" s="0" t="s">
        <v>9</v>
      </c>
      <c r="H105" s="0" t="str">
        <f aca="false">"30-41"</f>
        <v>30-41</v>
      </c>
      <c r="I105" s="0" t="s">
        <v>9</v>
      </c>
      <c r="J105" s="0" t="str">
        <f aca="false">"81-92"</f>
        <v>81-92</v>
      </c>
      <c r="K105" s="0" t="str">
        <f aca="false">"1.24"</f>
        <v>1.24</v>
      </c>
      <c r="L105" s="0" t="str">
        <f aca="false">"13.09"</f>
        <v>13.09</v>
      </c>
      <c r="M105" s="0" t="str">
        <f aca="false">"54.4"</f>
        <v>54.4</v>
      </c>
    </row>
    <row r="106" customFormat="false" ht="12.8" hidden="false" customHeight="false" outlineLevel="0" collapsed="false">
      <c r="A106" s="0" t="s">
        <v>1877</v>
      </c>
      <c r="B106" s="0" t="s">
        <v>13</v>
      </c>
      <c r="C106" s="0" t="str">
        <f aca="false">"206-217"</f>
        <v>206-217</v>
      </c>
      <c r="D106" s="0" t="s">
        <v>24</v>
      </c>
      <c r="E106" s="0" t="str">
        <f aca="false">"153-164"</f>
        <v>153-164</v>
      </c>
      <c r="F106" s="0" t="s">
        <v>1979</v>
      </c>
      <c r="G106" s="0" t="s">
        <v>9</v>
      </c>
      <c r="H106" s="0" t="str">
        <f aca="false">"478-489"</f>
        <v>478-489</v>
      </c>
      <c r="I106" s="0" t="s">
        <v>9</v>
      </c>
      <c r="J106" s="0" t="str">
        <f aca="false">"456-467"</f>
        <v>456-467</v>
      </c>
      <c r="K106" s="0" t="str">
        <f aca="false">"1.15"</f>
        <v>1.15</v>
      </c>
      <c r="L106" s="0" t="str">
        <f aca="false">"11.73"</f>
        <v>11.73</v>
      </c>
      <c r="M106" s="0" t="str">
        <f aca="false">"29.9"</f>
        <v>29.9</v>
      </c>
    </row>
    <row r="107" customFormat="false" ht="12.8" hidden="false" customHeight="false" outlineLevel="0" collapsed="false">
      <c r="A107" s="0" t="s">
        <v>1877</v>
      </c>
      <c r="B107" s="0" t="s">
        <v>13</v>
      </c>
      <c r="C107" s="0" t="str">
        <f aca="false">"205-216"</f>
        <v>205-216</v>
      </c>
      <c r="D107" s="0" t="s">
        <v>24</v>
      </c>
      <c r="E107" s="0" t="str">
        <f aca="false">"150-161"</f>
        <v>150-161</v>
      </c>
      <c r="F107" s="0" t="s">
        <v>1980</v>
      </c>
      <c r="G107" s="0" t="s">
        <v>13</v>
      </c>
      <c r="H107" s="0" t="str">
        <f aca="false">"169-180"</f>
        <v>169-180</v>
      </c>
      <c r="I107" s="0" t="s">
        <v>9</v>
      </c>
      <c r="J107" s="0" t="str">
        <f aca="false">"141-152"</f>
        <v>141-152</v>
      </c>
      <c r="K107" s="0" t="str">
        <f aca="false">"0.97"</f>
        <v>0.97</v>
      </c>
      <c r="L107" s="0" t="str">
        <f aca="false">"14.19"</f>
        <v>14.19</v>
      </c>
      <c r="M107" s="0" t="str">
        <f aca="false">"27.8"</f>
        <v>27.8</v>
      </c>
    </row>
    <row r="108" customFormat="false" ht="12.8" hidden="false" customHeight="false" outlineLevel="0" collapsed="false">
      <c r="A108" s="0" t="s">
        <v>1877</v>
      </c>
      <c r="B108" s="0" t="s">
        <v>13</v>
      </c>
      <c r="C108" s="0" t="str">
        <f aca="false">"214-225"</f>
        <v>214-225</v>
      </c>
      <c r="D108" s="0" t="s">
        <v>24</v>
      </c>
      <c r="E108" s="0" t="str">
        <f aca="false">"159-170"</f>
        <v>159-170</v>
      </c>
      <c r="F108" s="0" t="s">
        <v>1981</v>
      </c>
      <c r="G108" s="0" t="s">
        <v>9</v>
      </c>
      <c r="H108" s="0" t="str">
        <f aca="false">"7-18"</f>
        <v>7-18</v>
      </c>
      <c r="I108" s="0" t="s">
        <v>9</v>
      </c>
      <c r="J108" s="0" t="str">
        <f aca="false">"521-532"</f>
        <v>521-532</v>
      </c>
      <c r="K108" s="0" t="str">
        <f aca="false">"1.08"</f>
        <v>1.08</v>
      </c>
      <c r="L108" s="0" t="str">
        <f aca="false">"12.86"</f>
        <v>12.86</v>
      </c>
      <c r="M108" s="0" t="str">
        <f aca="false">"43.1"</f>
        <v>43.1</v>
      </c>
    </row>
    <row r="109" customFormat="false" ht="12.8" hidden="false" customHeight="false" outlineLevel="0" collapsed="false">
      <c r="A109" s="0" t="s">
        <v>1877</v>
      </c>
      <c r="B109" s="0" t="s">
        <v>13</v>
      </c>
      <c r="C109" s="0" t="str">
        <f aca="false">"214-225"</f>
        <v>214-225</v>
      </c>
      <c r="D109" s="0" t="s">
        <v>24</v>
      </c>
      <c r="E109" s="0" t="str">
        <f aca="false">"159-170"</f>
        <v>159-170</v>
      </c>
      <c r="F109" s="0" t="s">
        <v>1982</v>
      </c>
      <c r="G109" s="0" t="s">
        <v>9</v>
      </c>
      <c r="H109" s="0" t="str">
        <f aca="false">"246-257"</f>
        <v>246-257</v>
      </c>
      <c r="I109" s="0" t="s">
        <v>9</v>
      </c>
      <c r="J109" s="0" t="str">
        <f aca="false">"167-178"</f>
        <v>167-178</v>
      </c>
      <c r="K109" s="0" t="str">
        <f aca="false">"1.21"</f>
        <v>1.21</v>
      </c>
      <c r="L109" s="0" t="str">
        <f aca="false">"12.61"</f>
        <v>12.61</v>
      </c>
      <c r="M109" s="0" t="str">
        <f aca="false">"39.6"</f>
        <v>39.6</v>
      </c>
    </row>
    <row r="110" customFormat="false" ht="12.8" hidden="false" customHeight="false" outlineLevel="0" collapsed="false">
      <c r="A110" s="0" t="s">
        <v>1877</v>
      </c>
      <c r="B110" s="0" t="s">
        <v>13</v>
      </c>
      <c r="C110" s="0" t="str">
        <f aca="false">"214-225"</f>
        <v>214-225</v>
      </c>
      <c r="D110" s="0" t="s">
        <v>24</v>
      </c>
      <c r="E110" s="0" t="str">
        <f aca="false">"158-169"</f>
        <v>158-169</v>
      </c>
      <c r="F110" s="0" t="s">
        <v>1983</v>
      </c>
      <c r="G110" s="0" t="s">
        <v>9</v>
      </c>
      <c r="H110" s="0" t="str">
        <f aca="false">"63-74"</f>
        <v>63-74</v>
      </c>
      <c r="I110" s="0" t="s">
        <v>9</v>
      </c>
      <c r="J110" s="0" t="str">
        <f aca="false">"13-24"</f>
        <v>13-24</v>
      </c>
      <c r="K110" s="0" t="str">
        <f aca="false">"1.11"</f>
        <v>1.11</v>
      </c>
      <c r="L110" s="0" t="str">
        <f aca="false">"13.30"</f>
        <v>13.30</v>
      </c>
      <c r="M110" s="0" t="str">
        <f aca="false">"42.5"</f>
        <v>42.5</v>
      </c>
    </row>
    <row r="111" customFormat="false" ht="12.8" hidden="false" customHeight="false" outlineLevel="0" collapsed="false">
      <c r="A111" s="0" t="s">
        <v>1877</v>
      </c>
      <c r="B111" s="0" t="s">
        <v>13</v>
      </c>
      <c r="C111" s="0" t="str">
        <f aca="false">"208-219"</f>
        <v>208-219</v>
      </c>
      <c r="D111" s="0" t="s">
        <v>24</v>
      </c>
      <c r="E111" s="0" t="str">
        <f aca="false">"157-168"</f>
        <v>157-168</v>
      </c>
      <c r="F111" s="0" t="s">
        <v>1984</v>
      </c>
      <c r="G111" s="0" t="s">
        <v>9</v>
      </c>
      <c r="H111" s="0" t="str">
        <f aca="false">"96-107"</f>
        <v>96-107</v>
      </c>
      <c r="I111" s="0" t="s">
        <v>9</v>
      </c>
      <c r="J111" s="0" t="str">
        <f aca="false">"168-179"</f>
        <v>168-179</v>
      </c>
      <c r="K111" s="0" t="str">
        <f aca="false">"1.22"</f>
        <v>1.22</v>
      </c>
      <c r="L111" s="0" t="str">
        <f aca="false">"14.13"</f>
        <v>14.13</v>
      </c>
      <c r="M111" s="0" t="str">
        <f aca="false">"45.5"</f>
        <v>45.5</v>
      </c>
    </row>
    <row r="112" customFormat="false" ht="12.8" hidden="false" customHeight="false" outlineLevel="0" collapsed="false">
      <c r="A112" s="0" t="s">
        <v>1877</v>
      </c>
      <c r="B112" s="0" t="s">
        <v>13</v>
      </c>
      <c r="C112" s="0" t="str">
        <f aca="false">"205-216"</f>
        <v>205-216</v>
      </c>
      <c r="D112" s="0" t="s">
        <v>24</v>
      </c>
      <c r="E112" s="0" t="str">
        <f aca="false">"151-162"</f>
        <v>151-162</v>
      </c>
      <c r="F112" s="0" t="s">
        <v>1985</v>
      </c>
      <c r="G112" s="0" t="s">
        <v>9</v>
      </c>
      <c r="H112" s="0" t="str">
        <f aca="false">"134-145"</f>
        <v>134-145</v>
      </c>
      <c r="I112" s="0" t="s">
        <v>9</v>
      </c>
      <c r="J112" s="0" t="str">
        <f aca="false">"71-82"</f>
        <v>71-82</v>
      </c>
      <c r="K112" s="0" t="str">
        <f aca="false">"1.06"</f>
        <v>1.06</v>
      </c>
      <c r="L112" s="0" t="str">
        <f aca="false">"13.18"</f>
        <v>13.18</v>
      </c>
      <c r="M112" s="0" t="str">
        <f aca="false">"35.9"</f>
        <v>35.9</v>
      </c>
    </row>
    <row r="113" customFormat="false" ht="12.8" hidden="false" customHeight="false" outlineLevel="0" collapsed="false">
      <c r="A113" s="0" t="s">
        <v>1877</v>
      </c>
      <c r="B113" s="0" t="s">
        <v>13</v>
      </c>
      <c r="C113" s="0" t="str">
        <f aca="false">"208-219"</f>
        <v>208-219</v>
      </c>
      <c r="D113" s="0" t="s">
        <v>24</v>
      </c>
      <c r="E113" s="0" t="str">
        <f aca="false">"156-167"</f>
        <v>156-167</v>
      </c>
      <c r="F113" s="0" t="s">
        <v>1986</v>
      </c>
      <c r="G113" s="0" t="s">
        <v>9</v>
      </c>
      <c r="H113" s="0" t="str">
        <f aca="false">"189-200"</f>
        <v>189-200</v>
      </c>
      <c r="I113" s="0" t="s">
        <v>9</v>
      </c>
      <c r="J113" s="0" t="str">
        <f aca="false">"220-231"</f>
        <v>220-231</v>
      </c>
      <c r="K113" s="0" t="str">
        <f aca="false">"1.10"</f>
        <v>1.10</v>
      </c>
      <c r="L113" s="0" t="str">
        <f aca="false">"12.65"</f>
        <v>12.65</v>
      </c>
      <c r="M113" s="0" t="str">
        <f aca="false">"46.0"</f>
        <v>46.0</v>
      </c>
    </row>
    <row r="114" customFormat="false" ht="12.8" hidden="false" customHeight="false" outlineLevel="0" collapsed="false">
      <c r="A114" s="0" t="s">
        <v>1877</v>
      </c>
      <c r="B114" s="0" t="s">
        <v>13</v>
      </c>
      <c r="C114" s="0" t="str">
        <f aca="false">"206-217"</f>
        <v>206-217</v>
      </c>
      <c r="D114" s="0" t="s">
        <v>24</v>
      </c>
      <c r="E114" s="0" t="str">
        <f aca="false">"153-164"</f>
        <v>153-164</v>
      </c>
      <c r="F114" s="0" t="s">
        <v>1987</v>
      </c>
      <c r="G114" s="0" t="s">
        <v>9</v>
      </c>
      <c r="H114" s="0" t="str">
        <f aca="false">"244-255"</f>
        <v>244-255</v>
      </c>
      <c r="I114" s="0" t="s">
        <v>9</v>
      </c>
      <c r="J114" s="0" t="str">
        <f aca="false">"302-313"</f>
        <v>302-313</v>
      </c>
      <c r="K114" s="0" t="str">
        <f aca="false">"1.15"</f>
        <v>1.15</v>
      </c>
      <c r="L114" s="0" t="str">
        <f aca="false">"12.66"</f>
        <v>12.66</v>
      </c>
      <c r="M114" s="0" t="str">
        <f aca="false">"47.4"</f>
        <v>47.4</v>
      </c>
    </row>
    <row r="115" customFormat="false" ht="12.8" hidden="false" customHeight="false" outlineLevel="0" collapsed="false">
      <c r="A115" s="0" t="s">
        <v>1877</v>
      </c>
      <c r="B115" s="0" t="s">
        <v>13</v>
      </c>
      <c r="C115" s="0" t="str">
        <f aca="false">"211-222"</f>
        <v>211-222</v>
      </c>
      <c r="D115" s="0" t="s">
        <v>24</v>
      </c>
      <c r="E115" s="0" t="str">
        <f aca="false">"155-166"</f>
        <v>155-166</v>
      </c>
      <c r="F115" s="0" t="s">
        <v>1988</v>
      </c>
      <c r="G115" s="0" t="s">
        <v>9</v>
      </c>
      <c r="H115" s="0" t="str">
        <f aca="false">"321-332"</f>
        <v>321-332</v>
      </c>
      <c r="I115" s="0" t="s">
        <v>9</v>
      </c>
      <c r="J115" s="0" t="str">
        <f aca="false">"285-296"</f>
        <v>285-296</v>
      </c>
      <c r="K115" s="0" t="str">
        <f aca="false">"0.99"</f>
        <v>0.99</v>
      </c>
      <c r="L115" s="0" t="str">
        <f aca="false">"13.43"</f>
        <v>13.43</v>
      </c>
      <c r="M115" s="0" t="str">
        <f aca="false">"44.1"</f>
        <v>44.1</v>
      </c>
    </row>
    <row r="116" customFormat="false" ht="12.8" hidden="false" customHeight="false" outlineLevel="0" collapsed="false">
      <c r="A116" s="0" t="s">
        <v>1877</v>
      </c>
      <c r="B116" s="0" t="s">
        <v>13</v>
      </c>
      <c r="C116" s="0" t="str">
        <f aca="false">"206-217"</f>
        <v>206-217</v>
      </c>
      <c r="D116" s="0" t="s">
        <v>24</v>
      </c>
      <c r="E116" s="0" t="str">
        <f aca="false">"156-167"</f>
        <v>156-167</v>
      </c>
      <c r="F116" s="0" t="s">
        <v>1989</v>
      </c>
      <c r="G116" s="0" t="s">
        <v>9</v>
      </c>
      <c r="H116" s="0" t="str">
        <f aca="false">"63-74"</f>
        <v>63-74</v>
      </c>
      <c r="I116" s="0" t="s">
        <v>9</v>
      </c>
      <c r="J116" s="0" t="str">
        <f aca="false">"97-108"</f>
        <v>97-108</v>
      </c>
      <c r="K116" s="0" t="str">
        <f aca="false">"1.20"</f>
        <v>1.20</v>
      </c>
      <c r="L116" s="0" t="str">
        <f aca="false">"13.08"</f>
        <v>13.08</v>
      </c>
      <c r="M116" s="0" t="str">
        <f aca="false">"31.3"</f>
        <v>31.3</v>
      </c>
    </row>
    <row r="117" customFormat="false" ht="12.8" hidden="false" customHeight="false" outlineLevel="0" collapsed="false">
      <c r="A117" s="0" t="s">
        <v>1877</v>
      </c>
      <c r="B117" s="0" t="s">
        <v>13</v>
      </c>
      <c r="C117" s="0" t="str">
        <f aca="false">"209-220"</f>
        <v>209-220</v>
      </c>
      <c r="D117" s="0" t="s">
        <v>24</v>
      </c>
      <c r="E117" s="0" t="str">
        <f aca="false">"160-171"</f>
        <v>160-171</v>
      </c>
      <c r="F117" s="0" t="s">
        <v>1990</v>
      </c>
      <c r="G117" s="0" t="s">
        <v>9</v>
      </c>
      <c r="H117" s="0" t="str">
        <f aca="false">"327-338"</f>
        <v>327-338</v>
      </c>
      <c r="I117" s="0" t="s">
        <v>9</v>
      </c>
      <c r="J117" s="0" t="str">
        <f aca="false">"233-244"</f>
        <v>233-244</v>
      </c>
      <c r="K117" s="0" t="str">
        <f aca="false">"1.18"</f>
        <v>1.18</v>
      </c>
      <c r="L117" s="0" t="str">
        <f aca="false">"13.27"</f>
        <v>13.27</v>
      </c>
      <c r="M117" s="0" t="str">
        <f aca="false">"21.5"</f>
        <v>21.5</v>
      </c>
    </row>
    <row r="118" customFormat="false" ht="12.8" hidden="false" customHeight="false" outlineLevel="0" collapsed="false">
      <c r="A118" s="0" t="s">
        <v>1877</v>
      </c>
      <c r="B118" s="0" t="s">
        <v>13</v>
      </c>
      <c r="C118" s="0" t="str">
        <f aca="false">"208-219"</f>
        <v>208-219</v>
      </c>
      <c r="D118" s="0" t="s">
        <v>24</v>
      </c>
      <c r="E118" s="0" t="str">
        <f aca="false">"158-169"</f>
        <v>158-169</v>
      </c>
      <c r="F118" s="0" t="s">
        <v>1991</v>
      </c>
      <c r="G118" s="0" t="s">
        <v>9</v>
      </c>
      <c r="H118" s="0" t="str">
        <f aca="false">"197-208"</f>
        <v>197-208</v>
      </c>
      <c r="I118" s="0" t="s">
        <v>9</v>
      </c>
      <c r="J118" s="0" t="str">
        <f aca="false">"257-268"</f>
        <v>257-268</v>
      </c>
      <c r="K118" s="0" t="str">
        <f aca="false">"1.05"</f>
        <v>1.05</v>
      </c>
      <c r="L118" s="0" t="str">
        <f aca="false">"12.88"</f>
        <v>12.88</v>
      </c>
      <c r="M118" s="0" t="str">
        <f aca="false">"40.7"</f>
        <v>40.7</v>
      </c>
    </row>
    <row r="119" customFormat="false" ht="12.8" hidden="false" customHeight="false" outlineLevel="0" collapsed="false">
      <c r="A119" s="0" t="s">
        <v>1877</v>
      </c>
      <c r="B119" s="0" t="s">
        <v>13</v>
      </c>
      <c r="C119" s="0" t="str">
        <f aca="false">"209-220"</f>
        <v>209-220</v>
      </c>
      <c r="D119" s="0" t="s">
        <v>24</v>
      </c>
      <c r="E119" s="0" t="str">
        <f aca="false">"158-169"</f>
        <v>158-169</v>
      </c>
      <c r="F119" s="0" t="s">
        <v>1992</v>
      </c>
      <c r="G119" s="0" t="s">
        <v>9</v>
      </c>
      <c r="H119" s="0" t="str">
        <f aca="false">"87-98"</f>
        <v>87-98</v>
      </c>
      <c r="I119" s="0" t="s">
        <v>9</v>
      </c>
      <c r="J119" s="0" t="str">
        <f aca="false">"123-134"</f>
        <v>123-134</v>
      </c>
      <c r="K119" s="0" t="str">
        <f aca="false">"1.04"</f>
        <v>1.04</v>
      </c>
      <c r="L119" s="0" t="str">
        <f aca="false">"13.33"</f>
        <v>13.33</v>
      </c>
      <c r="M119" s="0" t="str">
        <f aca="false">"45.1"</f>
        <v>45.1</v>
      </c>
    </row>
    <row r="120" customFormat="false" ht="12.8" hidden="false" customHeight="false" outlineLevel="0" collapsed="false">
      <c r="A120" s="0" t="s">
        <v>1877</v>
      </c>
      <c r="B120" s="0" t="s">
        <v>13</v>
      </c>
      <c r="C120" s="0" t="str">
        <f aca="false">"215-226"</f>
        <v>215-226</v>
      </c>
      <c r="D120" s="0" t="s">
        <v>24</v>
      </c>
      <c r="E120" s="0" t="str">
        <f aca="false">"157-168"</f>
        <v>157-168</v>
      </c>
      <c r="F120" s="0" t="s">
        <v>1993</v>
      </c>
      <c r="G120" s="0" t="s">
        <v>9</v>
      </c>
      <c r="H120" s="0" t="str">
        <f aca="false">"155-166"</f>
        <v>155-166</v>
      </c>
      <c r="I120" s="0" t="s">
        <v>9</v>
      </c>
      <c r="J120" s="0" t="str">
        <f aca="false">"107-118"</f>
        <v>107-118</v>
      </c>
      <c r="K120" s="0" t="str">
        <f aca="false">"1.17"</f>
        <v>1.17</v>
      </c>
      <c r="L120" s="0" t="str">
        <f aca="false">"14.47"</f>
        <v>14.47</v>
      </c>
      <c r="M120" s="0" t="str">
        <f aca="false">"42.3"</f>
        <v>42.3</v>
      </c>
    </row>
    <row r="121" customFormat="false" ht="12.8" hidden="false" customHeight="false" outlineLevel="0" collapsed="false">
      <c r="A121" s="0" t="s">
        <v>1877</v>
      </c>
      <c r="B121" s="0" t="s">
        <v>13</v>
      </c>
      <c r="C121" s="0" t="str">
        <f aca="false">"206-217"</f>
        <v>206-217</v>
      </c>
      <c r="D121" s="0" t="s">
        <v>24</v>
      </c>
      <c r="E121" s="0" t="str">
        <f aca="false">"156-167"</f>
        <v>156-167</v>
      </c>
      <c r="F121" s="0" t="s">
        <v>1994</v>
      </c>
      <c r="G121" s="0" t="s">
        <v>9</v>
      </c>
      <c r="H121" s="0" t="str">
        <f aca="false">"222-233"</f>
        <v>222-233</v>
      </c>
      <c r="I121" s="0" t="s">
        <v>9</v>
      </c>
      <c r="J121" s="0" t="str">
        <f aca="false">"184-195"</f>
        <v>184-195</v>
      </c>
      <c r="K121" s="0" t="str">
        <f aca="false">"0.70"</f>
        <v>0.70</v>
      </c>
      <c r="L121" s="0" t="str">
        <f aca="false">"13.55"</f>
        <v>13.55</v>
      </c>
      <c r="M121" s="0" t="str">
        <f aca="false">"36.4"</f>
        <v>36.4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5561224489796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2.7602040816327"/>
    <col collapsed="false" hidden="false" max="7" min="7" style="0" width="6.95408163265306"/>
    <col collapsed="false" hidden="false" max="8" min="8" style="0" width="7.76530612244898"/>
    <col collapsed="false" hidden="false" max="9" min="9" style="0" width="6.95408163265306"/>
    <col collapsed="false" hidden="false" max="10" min="10" style="0" width="9.65816326530612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1995</v>
      </c>
      <c r="B2" s="0" t="s">
        <v>9</v>
      </c>
      <c r="C2" s="0" t="str">
        <f aca="false">"442-453"</f>
        <v>442-453</v>
      </c>
      <c r="D2" s="0" t="s">
        <v>9</v>
      </c>
      <c r="E2" s="0" t="str">
        <f aca="false">"652-663"</f>
        <v>652-663</v>
      </c>
      <c r="F2" s="0" t="s">
        <v>1996</v>
      </c>
      <c r="G2" s="0" t="s">
        <v>24</v>
      </c>
      <c r="H2" s="0" t="str">
        <f aca="false">"90-101"</f>
        <v>90-101</v>
      </c>
      <c r="I2" s="0" t="s">
        <v>24</v>
      </c>
      <c r="J2" s="0" t="str">
        <f aca="false">"37-48"</f>
        <v>37-48</v>
      </c>
      <c r="K2" s="0" t="str">
        <f aca="false">"1.19"</f>
        <v>1.19</v>
      </c>
      <c r="L2" s="0" t="str">
        <f aca="false">"9.61"</f>
        <v>9.61</v>
      </c>
      <c r="M2" s="0" t="str">
        <f aca="false">"122.7"</f>
        <v>122.7</v>
      </c>
    </row>
    <row r="3" customFormat="false" ht="12.8" hidden="false" customHeight="false" outlineLevel="0" collapsed="false">
      <c r="A3" s="0" t="s">
        <v>1995</v>
      </c>
      <c r="B3" s="0" t="s">
        <v>9</v>
      </c>
      <c r="C3" s="0" t="str">
        <f aca="false">"441-452"</f>
        <v>441-452</v>
      </c>
      <c r="D3" s="0" t="s">
        <v>9</v>
      </c>
      <c r="E3" s="0" t="str">
        <f aca="false">"649-660"</f>
        <v>649-660</v>
      </c>
      <c r="F3" s="0" t="s">
        <v>1997</v>
      </c>
      <c r="G3" s="0" t="s">
        <v>120</v>
      </c>
      <c r="H3" s="0" t="str">
        <f aca="false">"183-194"</f>
        <v>183-194</v>
      </c>
      <c r="I3" s="0" t="s">
        <v>120</v>
      </c>
      <c r="J3" s="0" t="str">
        <f aca="false">"285-296"</f>
        <v>285-296</v>
      </c>
      <c r="K3" s="0" t="str">
        <f aca="false">"1.20"</f>
        <v>1.20</v>
      </c>
      <c r="L3" s="0" t="str">
        <f aca="false">"10.30"</f>
        <v>10.30</v>
      </c>
      <c r="M3" s="0" t="str">
        <f aca="false">"102.1"</f>
        <v>102.1</v>
      </c>
    </row>
    <row r="4" customFormat="false" ht="12.8" hidden="false" customHeight="false" outlineLevel="0" collapsed="false">
      <c r="A4" s="0" t="s">
        <v>1995</v>
      </c>
      <c r="B4" s="0" t="s">
        <v>9</v>
      </c>
      <c r="C4" s="0" t="str">
        <f aca="false">"443-454"</f>
        <v>443-454</v>
      </c>
      <c r="D4" s="0" t="s">
        <v>9</v>
      </c>
      <c r="E4" s="0" t="str">
        <f aca="false">"650-661"</f>
        <v>650-661</v>
      </c>
      <c r="F4" s="0" t="s">
        <v>1998</v>
      </c>
      <c r="G4" s="0" t="s">
        <v>9</v>
      </c>
      <c r="H4" s="0" t="str">
        <f aca="false">"57-68"</f>
        <v>57-68</v>
      </c>
      <c r="I4" s="0" t="s">
        <v>9</v>
      </c>
      <c r="J4" s="0" t="str">
        <f aca="false">"105-116"</f>
        <v>105-116</v>
      </c>
      <c r="K4" s="0" t="str">
        <f aca="false">"1.15"</f>
        <v>1.15</v>
      </c>
      <c r="L4" s="0" t="str">
        <f aca="false">"8.46"</f>
        <v>8.46</v>
      </c>
      <c r="M4" s="0" t="str">
        <f aca="false">"106.4"</f>
        <v>106.4</v>
      </c>
    </row>
    <row r="5" customFormat="false" ht="12.8" hidden="false" customHeight="false" outlineLevel="0" collapsed="false">
      <c r="A5" s="0" t="s">
        <v>1995</v>
      </c>
      <c r="B5" s="0" t="s">
        <v>9</v>
      </c>
      <c r="C5" s="0" t="str">
        <f aca="false">"442-453"</f>
        <v>442-453</v>
      </c>
      <c r="D5" s="0" t="s">
        <v>9</v>
      </c>
      <c r="E5" s="0" t="str">
        <f aca="false">"652-663"</f>
        <v>652-663</v>
      </c>
      <c r="F5" s="0" t="s">
        <v>1999</v>
      </c>
      <c r="G5" s="0" t="s">
        <v>9</v>
      </c>
      <c r="H5" s="0" t="str">
        <f aca="false">"59-70"</f>
        <v>59-70</v>
      </c>
      <c r="I5" s="0" t="s">
        <v>9</v>
      </c>
      <c r="J5" s="0" t="str">
        <f aca="false">"135-146"</f>
        <v>135-146</v>
      </c>
      <c r="K5" s="0" t="str">
        <f aca="false">"1.11"</f>
        <v>1.11</v>
      </c>
      <c r="L5" s="0" t="str">
        <f aca="false">"8.33"</f>
        <v>8.33</v>
      </c>
      <c r="M5" s="0" t="str">
        <f aca="false">"121.2"</f>
        <v>121.2</v>
      </c>
    </row>
    <row r="6" customFormat="false" ht="12.8" hidden="false" customHeight="false" outlineLevel="0" collapsed="false">
      <c r="A6" s="0" t="s">
        <v>1995</v>
      </c>
      <c r="B6" s="0" t="s">
        <v>9</v>
      </c>
      <c r="C6" s="0" t="str">
        <f aca="false">"442-453"</f>
        <v>442-453</v>
      </c>
      <c r="D6" s="0" t="s">
        <v>9</v>
      </c>
      <c r="E6" s="0" t="str">
        <f aca="false">"652-663"</f>
        <v>652-663</v>
      </c>
      <c r="F6" s="0" t="s">
        <v>2000</v>
      </c>
      <c r="G6" s="0" t="s">
        <v>9</v>
      </c>
      <c r="H6" s="0" t="str">
        <f aca="false">"67-78"</f>
        <v>67-78</v>
      </c>
      <c r="I6" s="0" t="s">
        <v>9</v>
      </c>
      <c r="J6" s="0" t="str">
        <f aca="false">"133-144"</f>
        <v>133-144</v>
      </c>
      <c r="K6" s="0" t="str">
        <f aca="false">"1.10"</f>
        <v>1.10</v>
      </c>
      <c r="L6" s="0" t="str">
        <f aca="false">"8.70"</f>
        <v>8.70</v>
      </c>
      <c r="M6" s="0" t="str">
        <f aca="false">"99.0"</f>
        <v>99.0</v>
      </c>
    </row>
    <row r="7" customFormat="false" ht="12.8" hidden="false" customHeight="false" outlineLevel="0" collapsed="false">
      <c r="A7" s="0" t="s">
        <v>1995</v>
      </c>
      <c r="B7" s="0" t="s">
        <v>9</v>
      </c>
      <c r="C7" s="0" t="str">
        <f aca="false">"442-453"</f>
        <v>442-453</v>
      </c>
      <c r="D7" s="0" t="s">
        <v>9</v>
      </c>
      <c r="E7" s="0" t="str">
        <f aca="false">"652-663"</f>
        <v>652-663</v>
      </c>
      <c r="F7" s="0" t="s">
        <v>2001</v>
      </c>
      <c r="G7" s="0" t="s">
        <v>9</v>
      </c>
      <c r="H7" s="0" t="str">
        <f aca="false">"309-320"</f>
        <v>309-320</v>
      </c>
      <c r="I7" s="0" t="s">
        <v>9</v>
      </c>
      <c r="J7" s="0" t="str">
        <f aca="false">"336-347"</f>
        <v>336-347</v>
      </c>
      <c r="K7" s="0" t="str">
        <f aca="false">"1.22"</f>
        <v>1.22</v>
      </c>
      <c r="L7" s="0" t="str">
        <f aca="false">"9.81"</f>
        <v>9.81</v>
      </c>
      <c r="M7" s="0" t="str">
        <f aca="false">"92.4"</f>
        <v>92.4</v>
      </c>
    </row>
    <row r="8" customFormat="false" ht="12.8" hidden="false" customHeight="false" outlineLevel="0" collapsed="false">
      <c r="A8" s="0" t="s">
        <v>1995</v>
      </c>
      <c r="B8" s="0" t="s">
        <v>9</v>
      </c>
      <c r="C8" s="0" t="str">
        <f aca="false">"442-453"</f>
        <v>442-453</v>
      </c>
      <c r="D8" s="0" t="s">
        <v>9</v>
      </c>
      <c r="E8" s="0" t="str">
        <f aca="false">"652-663"</f>
        <v>652-663</v>
      </c>
      <c r="F8" s="0" t="s">
        <v>2002</v>
      </c>
      <c r="G8" s="0" t="s">
        <v>9</v>
      </c>
      <c r="H8" s="0" t="str">
        <f aca="false">"285-296"</f>
        <v>285-296</v>
      </c>
      <c r="I8" s="0" t="s">
        <v>24</v>
      </c>
      <c r="J8" s="0" t="str">
        <f aca="false">"285-296"</f>
        <v>285-296</v>
      </c>
      <c r="K8" s="0" t="str">
        <f aca="false">"1.22"</f>
        <v>1.22</v>
      </c>
      <c r="L8" s="0" t="str">
        <f aca="false">"9.57"</f>
        <v>9.57</v>
      </c>
      <c r="M8" s="0" t="str">
        <f aca="false">"97.0"</f>
        <v>97.0</v>
      </c>
    </row>
    <row r="9" customFormat="false" ht="12.8" hidden="false" customHeight="false" outlineLevel="0" collapsed="false">
      <c r="A9" s="0" t="s">
        <v>1995</v>
      </c>
      <c r="B9" s="0" t="s">
        <v>9</v>
      </c>
      <c r="C9" s="0" t="str">
        <f aca="false">"441-452"</f>
        <v>441-452</v>
      </c>
      <c r="D9" s="0" t="s">
        <v>9</v>
      </c>
      <c r="E9" s="0" t="str">
        <f aca="false">"655-666"</f>
        <v>655-666</v>
      </c>
      <c r="F9" s="0" t="s">
        <v>2003</v>
      </c>
      <c r="G9" s="0" t="s">
        <v>9</v>
      </c>
      <c r="H9" s="0" t="str">
        <f aca="false">"106-117"</f>
        <v>106-117</v>
      </c>
      <c r="I9" s="0" t="s">
        <v>9</v>
      </c>
      <c r="J9" s="0" t="str">
        <f aca="false">"20-31"</f>
        <v>20-31</v>
      </c>
      <c r="K9" s="0" t="str">
        <f aca="false">"1.13"</f>
        <v>1.13</v>
      </c>
      <c r="L9" s="0" t="str">
        <f aca="false">"11.01"</f>
        <v>11.01</v>
      </c>
      <c r="M9" s="0" t="str">
        <f aca="false">"101.5"</f>
        <v>101.5</v>
      </c>
    </row>
    <row r="10" customFormat="false" ht="12.8" hidden="false" customHeight="false" outlineLevel="0" collapsed="false">
      <c r="A10" s="0" t="s">
        <v>1995</v>
      </c>
      <c r="B10" s="0" t="s">
        <v>9</v>
      </c>
      <c r="C10" s="0" t="str">
        <f aca="false">"442-453"</f>
        <v>442-453</v>
      </c>
      <c r="D10" s="0" t="s">
        <v>9</v>
      </c>
      <c r="E10" s="0" t="str">
        <f aca="false">"652-663"</f>
        <v>652-663</v>
      </c>
      <c r="F10" s="0" t="s">
        <v>2004</v>
      </c>
      <c r="G10" s="0" t="s">
        <v>9</v>
      </c>
      <c r="H10" s="0" t="str">
        <f aca="false">"280-291"</f>
        <v>280-291</v>
      </c>
      <c r="I10" s="0" t="s">
        <v>9</v>
      </c>
      <c r="J10" s="0" t="str">
        <f aca="false">"309-320"</f>
        <v>309-320</v>
      </c>
      <c r="K10" s="0" t="str">
        <f aca="false">"1.10"</f>
        <v>1.10</v>
      </c>
      <c r="L10" s="0" t="str">
        <f aca="false">"9.93"</f>
        <v>9.93</v>
      </c>
      <c r="M10" s="0" t="str">
        <f aca="false">"118.3"</f>
        <v>118.3</v>
      </c>
    </row>
    <row r="11" customFormat="false" ht="12.8" hidden="false" customHeight="false" outlineLevel="0" collapsed="false">
      <c r="A11" s="0" t="s">
        <v>1995</v>
      </c>
      <c r="B11" s="0" t="s">
        <v>9</v>
      </c>
      <c r="C11" s="0" t="str">
        <f aca="false">"442-453"</f>
        <v>442-453</v>
      </c>
      <c r="D11" s="0" t="s">
        <v>9</v>
      </c>
      <c r="E11" s="0" t="str">
        <f aca="false">"652-663"</f>
        <v>652-663</v>
      </c>
      <c r="F11" s="0" t="s">
        <v>2005</v>
      </c>
      <c r="G11" s="0" t="s">
        <v>9</v>
      </c>
      <c r="H11" s="0" t="str">
        <f aca="false">"187-198"</f>
        <v>187-198</v>
      </c>
      <c r="I11" s="0" t="s">
        <v>9</v>
      </c>
      <c r="J11" s="0" t="str">
        <f aca="false">"225-236"</f>
        <v>225-236</v>
      </c>
      <c r="K11" s="0" t="str">
        <f aca="false">"1.13"</f>
        <v>1.13</v>
      </c>
      <c r="L11" s="0" t="str">
        <f aca="false">"9.99"</f>
        <v>9.99</v>
      </c>
      <c r="M11" s="0" t="str">
        <f aca="false">"116.6"</f>
        <v>116.6</v>
      </c>
    </row>
    <row r="12" customFormat="false" ht="12.8" hidden="false" customHeight="false" outlineLevel="0" collapsed="false">
      <c r="A12" s="0" t="s">
        <v>1995</v>
      </c>
      <c r="B12" s="0" t="s">
        <v>9</v>
      </c>
      <c r="C12" s="0" t="str">
        <f aca="false">"442-453"</f>
        <v>442-453</v>
      </c>
      <c r="D12" s="0" t="s">
        <v>9</v>
      </c>
      <c r="E12" s="0" t="str">
        <f aca="false">"652-663"</f>
        <v>652-663</v>
      </c>
      <c r="F12" s="0" t="s">
        <v>2006</v>
      </c>
      <c r="G12" s="0" t="s">
        <v>9</v>
      </c>
      <c r="H12" s="0" t="str">
        <f aca="false">"234-245"</f>
        <v>234-245</v>
      </c>
      <c r="I12" s="0" t="s">
        <v>9</v>
      </c>
      <c r="J12" s="0" t="str">
        <f aca="false">"263-274"</f>
        <v>263-274</v>
      </c>
      <c r="K12" s="0" t="str">
        <f aca="false">"1.09"</f>
        <v>1.09</v>
      </c>
      <c r="L12" s="0" t="str">
        <f aca="false">"10.03"</f>
        <v>10.03</v>
      </c>
      <c r="M12" s="0" t="str">
        <f aca="false">"122.6"</f>
        <v>122.6</v>
      </c>
    </row>
    <row r="13" customFormat="false" ht="12.8" hidden="false" customHeight="false" outlineLevel="0" collapsed="false">
      <c r="A13" s="0" t="s">
        <v>1995</v>
      </c>
      <c r="B13" s="0" t="s">
        <v>9</v>
      </c>
      <c r="C13" s="0" t="str">
        <f aca="false">"442-453"</f>
        <v>442-453</v>
      </c>
      <c r="D13" s="0" t="s">
        <v>9</v>
      </c>
      <c r="E13" s="0" t="str">
        <f aca="false">"652-663"</f>
        <v>652-663</v>
      </c>
      <c r="F13" s="0" t="s">
        <v>2007</v>
      </c>
      <c r="G13" s="0" t="s">
        <v>9</v>
      </c>
      <c r="H13" s="0" t="str">
        <f aca="false">"168-179"</f>
        <v>168-179</v>
      </c>
      <c r="I13" s="0" t="s">
        <v>9</v>
      </c>
      <c r="J13" s="0" t="str">
        <f aca="false">"196-207"</f>
        <v>196-207</v>
      </c>
      <c r="K13" s="0" t="str">
        <f aca="false">"1.06"</f>
        <v>1.06</v>
      </c>
      <c r="L13" s="0" t="str">
        <f aca="false">"10.55"</f>
        <v>10.55</v>
      </c>
      <c r="M13" s="0" t="str">
        <f aca="false">"103.5"</f>
        <v>103.5</v>
      </c>
    </row>
    <row r="14" customFormat="false" ht="12.8" hidden="false" customHeight="false" outlineLevel="0" collapsed="false">
      <c r="A14" s="0" t="s">
        <v>1995</v>
      </c>
      <c r="B14" s="0" t="s">
        <v>9</v>
      </c>
      <c r="C14" s="0" t="str">
        <f aca="false">"442-453"</f>
        <v>442-453</v>
      </c>
      <c r="D14" s="0" t="s">
        <v>9</v>
      </c>
      <c r="E14" s="0" t="str">
        <f aca="false">"652-663"</f>
        <v>652-663</v>
      </c>
      <c r="F14" s="0" t="s">
        <v>2008</v>
      </c>
      <c r="G14" s="0" t="s">
        <v>9</v>
      </c>
      <c r="H14" s="0" t="str">
        <f aca="false">"234-245"</f>
        <v>234-245</v>
      </c>
      <c r="I14" s="0" t="s">
        <v>9</v>
      </c>
      <c r="J14" s="0" t="str">
        <f aca="false">"263-274"</f>
        <v>263-274</v>
      </c>
      <c r="K14" s="0" t="str">
        <f aca="false">"1.08"</f>
        <v>1.08</v>
      </c>
      <c r="L14" s="0" t="str">
        <f aca="false">"9.41"</f>
        <v>9.41</v>
      </c>
      <c r="M14" s="0" t="str">
        <f aca="false">"114.8"</f>
        <v>114.8</v>
      </c>
    </row>
    <row r="15" customFormat="false" ht="12.8" hidden="false" customHeight="false" outlineLevel="0" collapsed="false">
      <c r="A15" s="0" t="s">
        <v>1995</v>
      </c>
      <c r="B15" s="0" t="s">
        <v>9</v>
      </c>
      <c r="C15" s="0" t="str">
        <f aca="false">"445-456"</f>
        <v>445-456</v>
      </c>
      <c r="D15" s="0" t="s">
        <v>9</v>
      </c>
      <c r="E15" s="0" t="str">
        <f aca="false">"652-663"</f>
        <v>652-663</v>
      </c>
      <c r="F15" s="0" t="s">
        <v>2009</v>
      </c>
      <c r="G15" s="0" t="s">
        <v>13</v>
      </c>
      <c r="H15" s="0" t="str">
        <f aca="false">"208-219"</f>
        <v>208-219</v>
      </c>
      <c r="I15" s="0" t="s">
        <v>13</v>
      </c>
      <c r="J15" s="0" t="str">
        <f aca="false">"187-198"</f>
        <v>187-198</v>
      </c>
      <c r="K15" s="0" t="str">
        <f aca="false">"1.20"</f>
        <v>1.20</v>
      </c>
      <c r="L15" s="0" t="str">
        <f aca="false">"9.21"</f>
        <v>9.21</v>
      </c>
      <c r="M15" s="0" t="str">
        <f aca="false">"98.9"</f>
        <v>98.9</v>
      </c>
    </row>
    <row r="16" customFormat="false" ht="12.8" hidden="false" customHeight="false" outlineLevel="0" collapsed="false">
      <c r="A16" s="0" t="s">
        <v>1995</v>
      </c>
      <c r="B16" s="0" t="s">
        <v>9</v>
      </c>
      <c r="C16" s="0" t="str">
        <f aca="false">"442-453"</f>
        <v>442-453</v>
      </c>
      <c r="D16" s="0" t="s">
        <v>9</v>
      </c>
      <c r="E16" s="0" t="str">
        <f aca="false">"652-663"</f>
        <v>652-663</v>
      </c>
      <c r="F16" s="0" t="s">
        <v>2010</v>
      </c>
      <c r="G16" s="0" t="s">
        <v>9</v>
      </c>
      <c r="H16" s="0" t="str">
        <f aca="false">"270-281"</f>
        <v>270-281</v>
      </c>
      <c r="I16" s="0" t="s">
        <v>9</v>
      </c>
      <c r="J16" s="0" t="str">
        <f aca="false">"299-310"</f>
        <v>299-310</v>
      </c>
      <c r="K16" s="0" t="str">
        <f aca="false">"1.23"</f>
        <v>1.23</v>
      </c>
      <c r="L16" s="0" t="str">
        <f aca="false">"10.44"</f>
        <v>10.44</v>
      </c>
      <c r="M16" s="0" t="str">
        <f aca="false">"119.8"</f>
        <v>119.8</v>
      </c>
    </row>
    <row r="17" customFormat="false" ht="12.8" hidden="false" customHeight="false" outlineLevel="0" collapsed="false">
      <c r="A17" s="0" t="s">
        <v>1995</v>
      </c>
      <c r="B17" s="0" t="s">
        <v>9</v>
      </c>
      <c r="C17" s="0" t="str">
        <f aca="false">"442-453"</f>
        <v>442-453</v>
      </c>
      <c r="D17" s="0" t="s">
        <v>9</v>
      </c>
      <c r="E17" s="0" t="str">
        <f aca="false">"652-663"</f>
        <v>652-663</v>
      </c>
      <c r="F17" s="0" t="s">
        <v>2011</v>
      </c>
      <c r="G17" s="0" t="s">
        <v>9</v>
      </c>
      <c r="H17" s="0" t="str">
        <f aca="false">"266-277"</f>
        <v>266-277</v>
      </c>
      <c r="I17" s="0" t="s">
        <v>9</v>
      </c>
      <c r="J17" s="0" t="str">
        <f aca="false">"295-306"</f>
        <v>295-306</v>
      </c>
      <c r="K17" s="0" t="str">
        <f aca="false">"0.90"</f>
        <v>0.90</v>
      </c>
      <c r="L17" s="0" t="str">
        <f aca="false">"8.95"</f>
        <v>8.95</v>
      </c>
      <c r="M17" s="0" t="str">
        <f aca="false">"116.3"</f>
        <v>116.3</v>
      </c>
    </row>
    <row r="18" customFormat="false" ht="12.8" hidden="false" customHeight="false" outlineLevel="0" collapsed="false">
      <c r="A18" s="0" t="s">
        <v>1995</v>
      </c>
      <c r="B18" s="0" t="s">
        <v>9</v>
      </c>
      <c r="C18" s="0" t="str">
        <f aca="false">"442-453"</f>
        <v>442-453</v>
      </c>
      <c r="D18" s="0" t="s">
        <v>9</v>
      </c>
      <c r="E18" s="0" t="str">
        <f aca="false">"652-663"</f>
        <v>652-663</v>
      </c>
      <c r="F18" s="0" t="s">
        <v>2012</v>
      </c>
      <c r="G18" s="0" t="s">
        <v>13</v>
      </c>
      <c r="H18" s="0" t="str">
        <f aca="false">"303-314"</f>
        <v>303-314</v>
      </c>
      <c r="I18" s="0" t="s">
        <v>13</v>
      </c>
      <c r="J18" s="0" t="str">
        <f aca="false">"420-431"</f>
        <v>420-431</v>
      </c>
      <c r="K18" s="0" t="str">
        <f aca="false">"1.06"</f>
        <v>1.06</v>
      </c>
      <c r="L18" s="0" t="str">
        <f aca="false">"9.49"</f>
        <v>9.49</v>
      </c>
      <c r="M18" s="0" t="str">
        <f aca="false">"110.8"</f>
        <v>110.8</v>
      </c>
    </row>
    <row r="19" customFormat="false" ht="12.8" hidden="false" customHeight="false" outlineLevel="0" collapsed="false">
      <c r="A19" s="0" t="s">
        <v>1995</v>
      </c>
      <c r="B19" s="0" t="s">
        <v>9</v>
      </c>
      <c r="C19" s="0" t="str">
        <f aca="false">"442-453"</f>
        <v>442-453</v>
      </c>
      <c r="D19" s="0" t="s">
        <v>9</v>
      </c>
      <c r="E19" s="0" t="str">
        <f aca="false">"653-664"</f>
        <v>653-664</v>
      </c>
      <c r="F19" s="0" t="s">
        <v>2013</v>
      </c>
      <c r="G19" s="0" t="s">
        <v>13</v>
      </c>
      <c r="H19" s="0" t="str">
        <f aca="false">"66-77"</f>
        <v>66-77</v>
      </c>
      <c r="I19" s="0" t="s">
        <v>9</v>
      </c>
      <c r="J19" s="0" t="str">
        <f aca="false">"27-38"</f>
        <v>27-38</v>
      </c>
      <c r="K19" s="0" t="str">
        <f aca="false">"1.23"</f>
        <v>1.23</v>
      </c>
      <c r="L19" s="0" t="str">
        <f aca="false">"10.64"</f>
        <v>10.64</v>
      </c>
      <c r="M19" s="0" t="str">
        <f aca="false">"113.6"</f>
        <v>113.6</v>
      </c>
    </row>
    <row r="20" customFormat="false" ht="12.8" hidden="false" customHeight="false" outlineLevel="0" collapsed="false">
      <c r="A20" s="0" t="s">
        <v>1995</v>
      </c>
      <c r="B20" s="0" t="s">
        <v>9</v>
      </c>
      <c r="C20" s="0" t="str">
        <f aca="false">"442-453"</f>
        <v>442-453</v>
      </c>
      <c r="D20" s="0" t="s">
        <v>9</v>
      </c>
      <c r="E20" s="0" t="str">
        <f aca="false">"653-664"</f>
        <v>653-664</v>
      </c>
      <c r="F20" s="0" t="s">
        <v>2014</v>
      </c>
      <c r="G20" s="0" t="s">
        <v>9</v>
      </c>
      <c r="H20" s="0" t="str">
        <f aca="false">"739-750"</f>
        <v>739-750</v>
      </c>
      <c r="I20" s="0" t="s">
        <v>9</v>
      </c>
      <c r="J20" s="0" t="str">
        <f aca="false">"863-874"</f>
        <v>863-874</v>
      </c>
      <c r="K20" s="0" t="str">
        <f aca="false">"1.10"</f>
        <v>1.10</v>
      </c>
      <c r="L20" s="0" t="str">
        <f aca="false">"9.15"</f>
        <v>9.15</v>
      </c>
      <c r="M20" s="0" t="str">
        <f aca="false">"112.8"</f>
        <v>112.8</v>
      </c>
    </row>
    <row r="21" customFormat="false" ht="12.8" hidden="false" customHeight="false" outlineLevel="0" collapsed="false">
      <c r="A21" s="0" t="s">
        <v>1995</v>
      </c>
      <c r="B21" s="0" t="s">
        <v>9</v>
      </c>
      <c r="C21" s="0" t="str">
        <f aca="false">"442-453"</f>
        <v>442-453</v>
      </c>
      <c r="D21" s="0" t="s">
        <v>9</v>
      </c>
      <c r="E21" s="0" t="str">
        <f aca="false">"653-664"</f>
        <v>653-664</v>
      </c>
      <c r="F21" s="0" t="s">
        <v>2015</v>
      </c>
      <c r="G21" s="0" t="s">
        <v>9</v>
      </c>
      <c r="H21" s="0" t="str">
        <f aca="false">"301-312"</f>
        <v>301-312</v>
      </c>
      <c r="I21" s="0" t="s">
        <v>9</v>
      </c>
      <c r="J21" s="0" t="str">
        <f aca="false">"424-435"</f>
        <v>424-435</v>
      </c>
      <c r="K21" s="0" t="str">
        <f aca="false">"0.88"</f>
        <v>0.88</v>
      </c>
      <c r="L21" s="0" t="str">
        <f aca="false">"8.73"</f>
        <v>8.73</v>
      </c>
      <c r="M21" s="0" t="str">
        <f aca="false">"107.2"</f>
        <v>107.2</v>
      </c>
    </row>
    <row r="22" customFormat="false" ht="12.8" hidden="false" customHeight="false" outlineLevel="0" collapsed="false">
      <c r="A22" s="0" t="s">
        <v>1995</v>
      </c>
      <c r="B22" s="0" t="s">
        <v>9</v>
      </c>
      <c r="C22" s="0" t="str">
        <f aca="false">"442-453"</f>
        <v>442-453</v>
      </c>
      <c r="D22" s="0" t="s">
        <v>9</v>
      </c>
      <c r="E22" s="0" t="str">
        <f aca="false">"647-658"</f>
        <v>647-658</v>
      </c>
      <c r="F22" s="0" t="s">
        <v>2016</v>
      </c>
      <c r="G22" s="0" t="s">
        <v>13</v>
      </c>
      <c r="H22" s="0" t="str">
        <f aca="false">"521-532"</f>
        <v>521-532</v>
      </c>
      <c r="I22" s="0" t="s">
        <v>13</v>
      </c>
      <c r="J22" s="0" t="str">
        <f aca="false">"468-479"</f>
        <v>468-479</v>
      </c>
      <c r="K22" s="0" t="str">
        <f aca="false">"1.07"</f>
        <v>1.07</v>
      </c>
      <c r="L22" s="0" t="str">
        <f aca="false">"12.20"</f>
        <v>12.20</v>
      </c>
      <c r="M22" s="0" t="str">
        <f aca="false">"93.1"</f>
        <v>93.1</v>
      </c>
    </row>
    <row r="23" customFormat="false" ht="12.8" hidden="false" customHeight="false" outlineLevel="0" collapsed="false">
      <c r="A23" s="0" t="s">
        <v>1995</v>
      </c>
      <c r="B23" s="0" t="s">
        <v>9</v>
      </c>
      <c r="C23" s="0" t="str">
        <f aca="false">"440-451"</f>
        <v>440-451</v>
      </c>
      <c r="D23" s="0" t="s">
        <v>9</v>
      </c>
      <c r="E23" s="0" t="str">
        <f aca="false">"652-663"</f>
        <v>652-663</v>
      </c>
      <c r="F23" s="0" t="s">
        <v>2017</v>
      </c>
      <c r="G23" s="0" t="s">
        <v>9</v>
      </c>
      <c r="H23" s="0" t="str">
        <f aca="false">"273-284"</f>
        <v>273-284</v>
      </c>
      <c r="I23" s="0" t="s">
        <v>9</v>
      </c>
      <c r="J23" s="0" t="str">
        <f aca="false">"345-356"</f>
        <v>345-356</v>
      </c>
      <c r="K23" s="0" t="str">
        <f aca="false">"1.04"</f>
        <v>1.04</v>
      </c>
      <c r="L23" s="0" t="str">
        <f aca="false">"8.65"</f>
        <v>8.65</v>
      </c>
      <c r="M23" s="0" t="str">
        <f aca="false">"108.8"</f>
        <v>108.8</v>
      </c>
    </row>
    <row r="24" customFormat="false" ht="12.8" hidden="false" customHeight="false" outlineLevel="0" collapsed="false">
      <c r="A24" s="0" t="s">
        <v>1995</v>
      </c>
      <c r="B24" s="0" t="s">
        <v>9</v>
      </c>
      <c r="C24" s="0" t="str">
        <f aca="false">"439-450"</f>
        <v>439-450</v>
      </c>
      <c r="D24" s="0" t="s">
        <v>9</v>
      </c>
      <c r="E24" s="0" t="str">
        <f aca="false">"656-667"</f>
        <v>656-667</v>
      </c>
      <c r="F24" s="0" t="s">
        <v>2018</v>
      </c>
      <c r="G24" s="0" t="s">
        <v>9</v>
      </c>
      <c r="H24" s="0" t="str">
        <f aca="false">"518-529"</f>
        <v>518-529</v>
      </c>
      <c r="I24" s="0" t="s">
        <v>9</v>
      </c>
      <c r="J24" s="0" t="str">
        <f aca="false">"422-433"</f>
        <v>422-433</v>
      </c>
      <c r="K24" s="0" t="str">
        <f aca="false">"0.89"</f>
        <v>0.89</v>
      </c>
      <c r="L24" s="0" t="str">
        <f aca="false">"10.32"</f>
        <v>10.32</v>
      </c>
      <c r="M24" s="0" t="str">
        <f aca="false">"121.0"</f>
        <v>121.0</v>
      </c>
    </row>
    <row r="25" customFormat="false" ht="12.8" hidden="false" customHeight="false" outlineLevel="0" collapsed="false">
      <c r="A25" s="0" t="s">
        <v>1995</v>
      </c>
      <c r="B25" s="0" t="s">
        <v>9</v>
      </c>
      <c r="C25" s="0" t="str">
        <f aca="false">"441-452"</f>
        <v>441-452</v>
      </c>
      <c r="D25" s="0" t="s">
        <v>9</v>
      </c>
      <c r="E25" s="0" t="str">
        <f aca="false">"657-668"</f>
        <v>657-668</v>
      </c>
      <c r="F25" s="0" t="s">
        <v>2019</v>
      </c>
      <c r="G25" s="0" t="s">
        <v>9</v>
      </c>
      <c r="H25" s="0" t="str">
        <f aca="false">"311-322"</f>
        <v>311-322</v>
      </c>
      <c r="I25" s="0" t="s">
        <v>9</v>
      </c>
      <c r="J25" s="0" t="str">
        <f aca="false">"326-337"</f>
        <v>326-337</v>
      </c>
      <c r="K25" s="0" t="str">
        <f aca="false">"1.13"</f>
        <v>1.13</v>
      </c>
      <c r="L25" s="0" t="str">
        <f aca="false">"11.34"</f>
        <v>11.34</v>
      </c>
      <c r="M25" s="0" t="str">
        <f aca="false">"113.7"</f>
        <v>113.7</v>
      </c>
    </row>
    <row r="26" customFormat="false" ht="12.8" hidden="false" customHeight="false" outlineLevel="0" collapsed="false">
      <c r="A26" s="0" t="s">
        <v>1995</v>
      </c>
      <c r="B26" s="0" t="s">
        <v>9</v>
      </c>
      <c r="C26" s="0" t="str">
        <f aca="false">"442-453"</f>
        <v>442-453</v>
      </c>
      <c r="D26" s="0" t="s">
        <v>9</v>
      </c>
      <c r="E26" s="0" t="str">
        <f aca="false">"656-667"</f>
        <v>656-667</v>
      </c>
      <c r="F26" s="0" t="s">
        <v>2020</v>
      </c>
      <c r="G26" s="0" t="s">
        <v>9</v>
      </c>
      <c r="H26" s="0" t="str">
        <f aca="false">"210-221"</f>
        <v>210-221</v>
      </c>
      <c r="I26" s="0" t="s">
        <v>9</v>
      </c>
      <c r="J26" s="0" t="str">
        <f aca="false">"343-354"</f>
        <v>343-354</v>
      </c>
      <c r="K26" s="0" t="str">
        <f aca="false">"0.89"</f>
        <v>0.89</v>
      </c>
      <c r="L26" s="0" t="str">
        <f aca="false">"10.71"</f>
        <v>10.71</v>
      </c>
      <c r="M26" s="0" t="str">
        <f aca="false">"115.9"</f>
        <v>115.9</v>
      </c>
    </row>
    <row r="27" customFormat="false" ht="12.8" hidden="false" customHeight="false" outlineLevel="0" collapsed="false">
      <c r="A27" s="0" t="s">
        <v>1995</v>
      </c>
      <c r="B27" s="0" t="s">
        <v>9</v>
      </c>
      <c r="C27" s="0" t="str">
        <f aca="false">"439-450"</f>
        <v>439-450</v>
      </c>
      <c r="D27" s="0" t="s">
        <v>9</v>
      </c>
      <c r="E27" s="0" t="str">
        <f aca="false">"652-663"</f>
        <v>652-663</v>
      </c>
      <c r="F27" s="0" t="s">
        <v>2021</v>
      </c>
      <c r="G27" s="0" t="s">
        <v>13</v>
      </c>
      <c r="H27" s="0" t="str">
        <f aca="false">"95-106"</f>
        <v>95-106</v>
      </c>
      <c r="I27" s="0" t="s">
        <v>13</v>
      </c>
      <c r="J27" s="0" t="str">
        <f aca="false">"60-71"</f>
        <v>60-71</v>
      </c>
      <c r="K27" s="0" t="str">
        <f aca="false">"1.02"</f>
        <v>1.02</v>
      </c>
      <c r="L27" s="0" t="str">
        <f aca="false">"10.09"</f>
        <v>10.09</v>
      </c>
      <c r="M27" s="0" t="str">
        <f aca="false">"119.2"</f>
        <v>119.2</v>
      </c>
    </row>
    <row r="28" customFormat="false" ht="12.8" hidden="false" customHeight="false" outlineLevel="0" collapsed="false">
      <c r="A28" s="0" t="s">
        <v>1995</v>
      </c>
      <c r="B28" s="0" t="s">
        <v>9</v>
      </c>
      <c r="C28" s="0" t="str">
        <f aca="false">"442-453"</f>
        <v>442-453</v>
      </c>
      <c r="D28" s="0" t="s">
        <v>9</v>
      </c>
      <c r="E28" s="0" t="str">
        <f aca="false">"652-663"</f>
        <v>652-663</v>
      </c>
      <c r="F28" s="0" t="s">
        <v>2022</v>
      </c>
      <c r="G28" s="0" t="s">
        <v>13</v>
      </c>
      <c r="H28" s="0" t="str">
        <f aca="false">"79-90"</f>
        <v>79-90</v>
      </c>
      <c r="I28" s="0" t="s">
        <v>9</v>
      </c>
      <c r="J28" s="0" t="str">
        <f aca="false">"29-40"</f>
        <v>29-40</v>
      </c>
      <c r="K28" s="0" t="str">
        <f aca="false">"1.05"</f>
        <v>1.05</v>
      </c>
      <c r="L28" s="0" t="str">
        <f aca="false">"9.09"</f>
        <v>9.09</v>
      </c>
      <c r="M28" s="0" t="str">
        <f aca="false">"115.1"</f>
        <v>115.1</v>
      </c>
    </row>
    <row r="29" customFormat="false" ht="12.8" hidden="false" customHeight="false" outlineLevel="0" collapsed="false">
      <c r="A29" s="0" t="s">
        <v>1995</v>
      </c>
      <c r="B29" s="0" t="s">
        <v>9</v>
      </c>
      <c r="C29" s="0" t="str">
        <f aca="false">"441-452"</f>
        <v>441-452</v>
      </c>
      <c r="D29" s="0" t="s">
        <v>9</v>
      </c>
      <c r="E29" s="0" t="str">
        <f aca="false">"653-664"</f>
        <v>653-664</v>
      </c>
      <c r="F29" s="0" t="s">
        <v>2023</v>
      </c>
      <c r="G29" s="0" t="s">
        <v>9</v>
      </c>
      <c r="H29" s="0" t="str">
        <f aca="false">"18-29"</f>
        <v>18-29</v>
      </c>
      <c r="I29" s="0" t="s">
        <v>9</v>
      </c>
      <c r="J29" s="0" t="str">
        <f aca="false">"94-105"</f>
        <v>94-105</v>
      </c>
      <c r="K29" s="0" t="str">
        <f aca="false">"0.88"</f>
        <v>0.88</v>
      </c>
      <c r="L29" s="0" t="str">
        <f aca="false">"8.94"</f>
        <v>8.94</v>
      </c>
      <c r="M29" s="0" t="str">
        <f aca="false">"109.8"</f>
        <v>109.8</v>
      </c>
    </row>
    <row r="30" customFormat="false" ht="12.8" hidden="false" customHeight="false" outlineLevel="0" collapsed="false">
      <c r="A30" s="0" t="s">
        <v>1995</v>
      </c>
      <c r="B30" s="0" t="s">
        <v>9</v>
      </c>
      <c r="C30" s="0" t="str">
        <f aca="false">"441-452"</f>
        <v>441-452</v>
      </c>
      <c r="D30" s="0" t="s">
        <v>9</v>
      </c>
      <c r="E30" s="0" t="str">
        <f aca="false">"653-664"</f>
        <v>653-664</v>
      </c>
      <c r="F30" s="0" t="s">
        <v>2024</v>
      </c>
      <c r="G30" s="0" t="s">
        <v>24</v>
      </c>
      <c r="H30" s="0" t="str">
        <f aca="false">"173-184"</f>
        <v>173-184</v>
      </c>
      <c r="I30" s="0" t="s">
        <v>24</v>
      </c>
      <c r="J30" s="0" t="str">
        <f aca="false">"248-259"</f>
        <v>248-259</v>
      </c>
      <c r="K30" s="0" t="str">
        <f aca="false">"1.18"</f>
        <v>1.18</v>
      </c>
      <c r="L30" s="0" t="str">
        <f aca="false">"10.12"</f>
        <v>10.12</v>
      </c>
      <c r="M30" s="0" t="str">
        <f aca="false">"112.5"</f>
        <v>112.5</v>
      </c>
    </row>
    <row r="31" customFormat="false" ht="12.8" hidden="false" customHeight="false" outlineLevel="0" collapsed="false">
      <c r="A31" s="0" t="s">
        <v>1995</v>
      </c>
      <c r="B31" s="0" t="s">
        <v>9</v>
      </c>
      <c r="C31" s="0" t="str">
        <f aca="false">"444-455"</f>
        <v>444-455</v>
      </c>
      <c r="D31" s="0" t="s">
        <v>9</v>
      </c>
      <c r="E31" s="0" t="str">
        <f aca="false">"647-658"</f>
        <v>647-658</v>
      </c>
      <c r="F31" s="0" t="s">
        <v>2025</v>
      </c>
      <c r="G31" s="0" t="s">
        <v>24</v>
      </c>
      <c r="H31" s="0" t="str">
        <f aca="false">"117-128"</f>
        <v>117-128</v>
      </c>
      <c r="I31" s="0" t="s">
        <v>9</v>
      </c>
      <c r="J31" s="0" t="str">
        <f aca="false">"31-42"</f>
        <v>31-42</v>
      </c>
      <c r="K31" s="0" t="str">
        <f aca="false">"1.08"</f>
        <v>1.08</v>
      </c>
      <c r="L31" s="0" t="str">
        <f aca="false">"12.21"</f>
        <v>12.21</v>
      </c>
      <c r="M31" s="0" t="str">
        <f aca="false">"109.2"</f>
        <v>109.2</v>
      </c>
    </row>
    <row r="32" customFormat="false" ht="12.8" hidden="false" customHeight="false" outlineLevel="0" collapsed="false">
      <c r="A32" s="0" t="s">
        <v>1995</v>
      </c>
      <c r="B32" s="0" t="s">
        <v>9</v>
      </c>
      <c r="C32" s="0" t="str">
        <f aca="false">"442-453"</f>
        <v>442-453</v>
      </c>
      <c r="D32" s="0" t="s">
        <v>9</v>
      </c>
      <c r="E32" s="0" t="str">
        <f aca="false">"650-661"</f>
        <v>650-661</v>
      </c>
      <c r="F32" s="0" t="s">
        <v>2026</v>
      </c>
      <c r="G32" s="0" t="s">
        <v>9</v>
      </c>
      <c r="H32" s="0" t="str">
        <f aca="false">"219-230"</f>
        <v>219-230</v>
      </c>
      <c r="I32" s="0" t="s">
        <v>9</v>
      </c>
      <c r="J32" s="0" t="str">
        <f aca="false">"177-188"</f>
        <v>177-188</v>
      </c>
      <c r="K32" s="0" t="str">
        <f aca="false">"1.15"</f>
        <v>1.15</v>
      </c>
      <c r="L32" s="0" t="str">
        <f aca="false">"9.44"</f>
        <v>9.44</v>
      </c>
      <c r="M32" s="0" t="str">
        <f aca="false">"107.7"</f>
        <v>107.7</v>
      </c>
    </row>
    <row r="33" customFormat="false" ht="12.8" hidden="false" customHeight="false" outlineLevel="0" collapsed="false">
      <c r="A33" s="0" t="s">
        <v>1995</v>
      </c>
      <c r="B33" s="0" t="s">
        <v>9</v>
      </c>
      <c r="C33" s="0" t="str">
        <f aca="false">"442-453"</f>
        <v>442-453</v>
      </c>
      <c r="D33" s="0" t="s">
        <v>9</v>
      </c>
      <c r="E33" s="0" t="str">
        <f aca="false">"652-663"</f>
        <v>652-663</v>
      </c>
      <c r="F33" s="0" t="s">
        <v>2027</v>
      </c>
      <c r="G33" s="0" t="s">
        <v>9</v>
      </c>
      <c r="H33" s="0" t="str">
        <f aca="false">"182-193"</f>
        <v>182-193</v>
      </c>
      <c r="I33" s="0" t="s">
        <v>9</v>
      </c>
      <c r="J33" s="0" t="str">
        <f aca="false">"220-231"</f>
        <v>220-231</v>
      </c>
      <c r="K33" s="0" t="str">
        <f aca="false">"0.83"</f>
        <v>0.83</v>
      </c>
      <c r="L33" s="0" t="str">
        <f aca="false">"8.44"</f>
        <v>8.44</v>
      </c>
      <c r="M33" s="0" t="str">
        <f aca="false">"110.9"</f>
        <v>110.9</v>
      </c>
    </row>
    <row r="34" customFormat="false" ht="12.8" hidden="false" customHeight="false" outlineLevel="0" collapsed="false">
      <c r="A34" s="0" t="s">
        <v>1995</v>
      </c>
      <c r="B34" s="0" t="s">
        <v>9</v>
      </c>
      <c r="C34" s="0" t="str">
        <f aca="false">"443-454"</f>
        <v>443-454</v>
      </c>
      <c r="D34" s="0" t="s">
        <v>9</v>
      </c>
      <c r="E34" s="0" t="str">
        <f aca="false">"650-661"</f>
        <v>650-661</v>
      </c>
      <c r="F34" s="0" t="s">
        <v>2028</v>
      </c>
      <c r="G34" s="0" t="s">
        <v>9</v>
      </c>
      <c r="H34" s="0" t="str">
        <f aca="false">"725-736"</f>
        <v>725-736</v>
      </c>
      <c r="I34" s="0" t="s">
        <v>9</v>
      </c>
      <c r="J34" s="0" t="str">
        <f aca="false">"848-859"</f>
        <v>848-859</v>
      </c>
      <c r="K34" s="0" t="str">
        <f aca="false">"0.84"</f>
        <v>0.84</v>
      </c>
      <c r="L34" s="0" t="str">
        <f aca="false">"10.36"</f>
        <v>10.36</v>
      </c>
      <c r="M34" s="0" t="str">
        <f aca="false">"104.2"</f>
        <v>104.2</v>
      </c>
    </row>
    <row r="35" customFormat="false" ht="12.8" hidden="false" customHeight="false" outlineLevel="0" collapsed="false">
      <c r="A35" s="0" t="s">
        <v>1995</v>
      </c>
      <c r="B35" s="0" t="s">
        <v>9</v>
      </c>
      <c r="C35" s="0" t="str">
        <f aca="false">"444-455"</f>
        <v>444-455</v>
      </c>
      <c r="D35" s="0" t="s">
        <v>9</v>
      </c>
      <c r="E35" s="0" t="str">
        <f aca="false">"647-658"</f>
        <v>647-658</v>
      </c>
      <c r="F35" s="0" t="s">
        <v>2029</v>
      </c>
      <c r="G35" s="0" t="s">
        <v>9</v>
      </c>
      <c r="H35" s="0" t="str">
        <f aca="false">"108-119"</f>
        <v>108-119</v>
      </c>
      <c r="I35" s="0" t="s">
        <v>9</v>
      </c>
      <c r="J35" s="0" t="str">
        <f aca="false">"13-24"</f>
        <v>13-24</v>
      </c>
      <c r="K35" s="0" t="str">
        <f aca="false">"0.97"</f>
        <v>0.97</v>
      </c>
      <c r="L35" s="0" t="str">
        <f aca="false">"12.33"</f>
        <v>12.33</v>
      </c>
      <c r="M35" s="0" t="str">
        <f aca="false">"111.0"</f>
        <v>111.0</v>
      </c>
    </row>
    <row r="36" customFormat="false" ht="12.8" hidden="false" customHeight="false" outlineLevel="0" collapsed="false">
      <c r="A36" s="0" t="s">
        <v>1995</v>
      </c>
      <c r="B36" s="0" t="s">
        <v>9</v>
      </c>
      <c r="C36" s="0" t="str">
        <f aca="false">"443-454"</f>
        <v>443-454</v>
      </c>
      <c r="D36" s="0" t="s">
        <v>9</v>
      </c>
      <c r="E36" s="0" t="str">
        <f aca="false">"649-660"</f>
        <v>649-660</v>
      </c>
      <c r="F36" s="0" t="s">
        <v>2030</v>
      </c>
      <c r="G36" s="0" t="s">
        <v>9</v>
      </c>
      <c r="H36" s="0" t="str">
        <f aca="false">"303-314"</f>
        <v>303-314</v>
      </c>
      <c r="I36" s="0" t="s">
        <v>9</v>
      </c>
      <c r="J36" s="0" t="str">
        <f aca="false">"349-360"</f>
        <v>349-360</v>
      </c>
      <c r="K36" s="0" t="str">
        <f aca="false">"1.16"</f>
        <v>1.16</v>
      </c>
      <c r="L36" s="0" t="str">
        <f aca="false">"10.66"</f>
        <v>10.66</v>
      </c>
      <c r="M36" s="0" t="str">
        <f aca="false">"111.3"</f>
        <v>111.3</v>
      </c>
    </row>
    <row r="37" customFormat="false" ht="12.8" hidden="false" customHeight="false" outlineLevel="0" collapsed="false">
      <c r="A37" s="0" t="s">
        <v>1995</v>
      </c>
      <c r="B37" s="0" t="s">
        <v>9</v>
      </c>
      <c r="C37" s="0" t="str">
        <f aca="false">"444-455"</f>
        <v>444-455</v>
      </c>
      <c r="D37" s="0" t="s">
        <v>9</v>
      </c>
      <c r="E37" s="0" t="str">
        <f aca="false">"652-663"</f>
        <v>652-663</v>
      </c>
      <c r="F37" s="0" t="s">
        <v>2031</v>
      </c>
      <c r="G37" s="0" t="s">
        <v>13</v>
      </c>
      <c r="H37" s="0" t="str">
        <f aca="false">"43-54"</f>
        <v>43-54</v>
      </c>
      <c r="I37" s="0" t="s">
        <v>13</v>
      </c>
      <c r="J37" s="0" t="str">
        <f aca="false">"143-154"</f>
        <v>143-154</v>
      </c>
      <c r="K37" s="0" t="str">
        <f aca="false">"0.99"</f>
        <v>0.99</v>
      </c>
      <c r="L37" s="0" t="str">
        <f aca="false">"8.07"</f>
        <v>8.07</v>
      </c>
      <c r="M37" s="0" t="str">
        <f aca="false">"114.9"</f>
        <v>114.9</v>
      </c>
    </row>
    <row r="38" customFormat="false" ht="12.8" hidden="false" customHeight="false" outlineLevel="0" collapsed="false">
      <c r="A38" s="0" t="s">
        <v>1995</v>
      </c>
      <c r="B38" s="0" t="s">
        <v>9</v>
      </c>
      <c r="C38" s="0" t="str">
        <f aca="false">"445-456"</f>
        <v>445-456</v>
      </c>
      <c r="D38" s="0" t="s">
        <v>9</v>
      </c>
      <c r="E38" s="0" t="str">
        <f aca="false">"652-663"</f>
        <v>652-663</v>
      </c>
      <c r="F38" s="0" t="s">
        <v>2032</v>
      </c>
      <c r="G38" s="0" t="s">
        <v>9</v>
      </c>
      <c r="H38" s="0" t="str">
        <f aca="false">"20-31"</f>
        <v>20-31</v>
      </c>
      <c r="I38" s="0" t="s">
        <v>9</v>
      </c>
      <c r="J38" s="0" t="str">
        <f aca="false">"61-72"</f>
        <v>61-72</v>
      </c>
      <c r="K38" s="0" t="str">
        <f aca="false">"1.09"</f>
        <v>1.09</v>
      </c>
      <c r="L38" s="0" t="str">
        <f aca="false">"9.35"</f>
        <v>9.35</v>
      </c>
      <c r="M38" s="0" t="str">
        <f aca="false">"105.4"</f>
        <v>105.4</v>
      </c>
    </row>
    <row r="39" customFormat="false" ht="12.8" hidden="false" customHeight="false" outlineLevel="0" collapsed="false">
      <c r="A39" s="0" t="s">
        <v>1995</v>
      </c>
      <c r="B39" s="0" t="s">
        <v>9</v>
      </c>
      <c r="C39" s="0" t="str">
        <f aca="false">"445-456"</f>
        <v>445-456</v>
      </c>
      <c r="D39" s="0" t="s">
        <v>9</v>
      </c>
      <c r="E39" s="0" t="str">
        <f aca="false">"654-665"</f>
        <v>654-665</v>
      </c>
      <c r="F39" s="0" t="s">
        <v>2033</v>
      </c>
      <c r="G39" s="0" t="s">
        <v>9</v>
      </c>
      <c r="H39" s="0" t="str">
        <f aca="false">"20-31"</f>
        <v>20-31</v>
      </c>
      <c r="I39" s="0" t="s">
        <v>9</v>
      </c>
      <c r="J39" s="0" t="str">
        <f aca="false">"51-62"</f>
        <v>51-62</v>
      </c>
      <c r="K39" s="0" t="str">
        <f aca="false">"0.89"</f>
        <v>0.89</v>
      </c>
      <c r="L39" s="0" t="str">
        <f aca="false">"9.59"</f>
        <v>9.59</v>
      </c>
      <c r="M39" s="0" t="str">
        <f aca="false">"113.5"</f>
        <v>113.5</v>
      </c>
    </row>
    <row r="40" customFormat="false" ht="12.8" hidden="false" customHeight="false" outlineLevel="0" collapsed="false">
      <c r="A40" s="0" t="s">
        <v>1995</v>
      </c>
      <c r="B40" s="0" t="s">
        <v>9</v>
      </c>
      <c r="C40" s="0" t="str">
        <f aca="false">"442-453"</f>
        <v>442-453</v>
      </c>
      <c r="D40" s="0" t="s">
        <v>9</v>
      </c>
      <c r="E40" s="0" t="str">
        <f aca="false">"656-667"</f>
        <v>656-667</v>
      </c>
      <c r="F40" s="0" t="s">
        <v>2034</v>
      </c>
      <c r="G40" s="0" t="s">
        <v>9</v>
      </c>
      <c r="H40" s="0" t="str">
        <f aca="false">"345-356"</f>
        <v>345-356</v>
      </c>
      <c r="I40" s="0" t="s">
        <v>9</v>
      </c>
      <c r="J40" s="0" t="str">
        <f aca="false">"324-335"</f>
        <v>324-335</v>
      </c>
      <c r="K40" s="0" t="str">
        <f aca="false">"1.02"</f>
        <v>1.02</v>
      </c>
      <c r="L40" s="0" t="str">
        <f aca="false">"9.73"</f>
        <v>9.73</v>
      </c>
      <c r="M40" s="0" t="str">
        <f aca="false">"106.4"</f>
        <v>106.4</v>
      </c>
    </row>
    <row r="41" customFormat="false" ht="12.8" hidden="false" customHeight="false" outlineLevel="0" collapsed="false">
      <c r="A41" s="0" t="s">
        <v>1995</v>
      </c>
      <c r="B41" s="0" t="s">
        <v>9</v>
      </c>
      <c r="C41" s="0" t="str">
        <f aca="false">"441-452"</f>
        <v>441-452</v>
      </c>
      <c r="D41" s="0" t="s">
        <v>9</v>
      </c>
      <c r="E41" s="0" t="str">
        <f aca="false">"653-664"</f>
        <v>653-664</v>
      </c>
      <c r="F41" s="0" t="s">
        <v>2035</v>
      </c>
      <c r="G41" s="0" t="s">
        <v>9</v>
      </c>
      <c r="H41" s="0" t="str">
        <f aca="false">"31-42"</f>
        <v>31-42</v>
      </c>
      <c r="I41" s="0" t="s">
        <v>9</v>
      </c>
      <c r="J41" s="0" t="str">
        <f aca="false">"123-134"</f>
        <v>123-134</v>
      </c>
      <c r="K41" s="0" t="str">
        <f aca="false">"1.10"</f>
        <v>1.10</v>
      </c>
      <c r="L41" s="0" t="str">
        <f aca="false">"8.53"</f>
        <v>8.53</v>
      </c>
      <c r="M41" s="0" t="str">
        <f aca="false">"112.3"</f>
        <v>112.3</v>
      </c>
    </row>
    <row r="42" customFormat="false" ht="12.8" hidden="false" customHeight="false" outlineLevel="0" collapsed="false">
      <c r="A42" s="0" t="s">
        <v>1995</v>
      </c>
      <c r="B42" s="0" t="s">
        <v>9</v>
      </c>
      <c r="C42" s="0" t="str">
        <f aca="false">"442-453"</f>
        <v>442-453</v>
      </c>
      <c r="D42" s="0" t="s">
        <v>9</v>
      </c>
      <c r="E42" s="0" t="str">
        <f aca="false">"653-664"</f>
        <v>653-664</v>
      </c>
      <c r="F42" s="0" t="s">
        <v>2036</v>
      </c>
      <c r="G42" s="0" t="s">
        <v>9</v>
      </c>
      <c r="H42" s="0" t="str">
        <f aca="false">"59-70"</f>
        <v>59-70</v>
      </c>
      <c r="I42" s="0" t="s">
        <v>9</v>
      </c>
      <c r="J42" s="0" t="str">
        <f aca="false">"79-90"</f>
        <v>79-90</v>
      </c>
      <c r="K42" s="0" t="str">
        <f aca="false">"1.04"</f>
        <v>1.04</v>
      </c>
      <c r="L42" s="0" t="str">
        <f aca="false">"9.21"</f>
        <v>9.21</v>
      </c>
      <c r="M42" s="0" t="str">
        <f aca="false">"113.9"</f>
        <v>113.9</v>
      </c>
    </row>
    <row r="43" customFormat="false" ht="12.8" hidden="false" customHeight="false" outlineLevel="0" collapsed="false">
      <c r="A43" s="0" t="s">
        <v>1995</v>
      </c>
      <c r="B43" s="0" t="s">
        <v>9</v>
      </c>
      <c r="C43" s="0" t="str">
        <f aca="false">"442-453"</f>
        <v>442-453</v>
      </c>
      <c r="D43" s="0" t="s">
        <v>9</v>
      </c>
      <c r="E43" s="0" t="str">
        <f aca="false">"652-663"</f>
        <v>652-663</v>
      </c>
      <c r="F43" s="0" t="s">
        <v>2037</v>
      </c>
      <c r="G43" s="0" t="s">
        <v>9</v>
      </c>
      <c r="H43" s="0" t="str">
        <f aca="false">"265-276"</f>
        <v>265-276</v>
      </c>
      <c r="I43" s="0" t="s">
        <v>9</v>
      </c>
      <c r="J43" s="0" t="str">
        <f aca="false">"382-393"</f>
        <v>382-393</v>
      </c>
      <c r="K43" s="0" t="str">
        <f aca="false">"0.96"</f>
        <v>0.96</v>
      </c>
      <c r="L43" s="0" t="str">
        <f aca="false">"9.21"</f>
        <v>9.21</v>
      </c>
      <c r="M43" s="0" t="str">
        <f aca="false">"106.1"</f>
        <v>106.1</v>
      </c>
    </row>
    <row r="44" customFormat="false" ht="12.8" hidden="false" customHeight="false" outlineLevel="0" collapsed="false">
      <c r="A44" s="0" t="s">
        <v>1995</v>
      </c>
      <c r="B44" s="0" t="s">
        <v>9</v>
      </c>
      <c r="C44" s="0" t="str">
        <f aca="false">"441-452"</f>
        <v>441-452</v>
      </c>
      <c r="D44" s="0" t="s">
        <v>9</v>
      </c>
      <c r="E44" s="0" t="str">
        <f aca="false">"652-663"</f>
        <v>652-663</v>
      </c>
      <c r="F44" s="0" t="s">
        <v>2038</v>
      </c>
      <c r="G44" s="0" t="s">
        <v>9</v>
      </c>
      <c r="H44" s="0" t="str">
        <f aca="false">"310-321"</f>
        <v>310-321</v>
      </c>
      <c r="I44" s="0" t="s">
        <v>9</v>
      </c>
      <c r="J44" s="0" t="str">
        <f aca="false">"429-440"</f>
        <v>429-440</v>
      </c>
      <c r="K44" s="0" t="str">
        <f aca="false">"0.99"</f>
        <v>0.99</v>
      </c>
      <c r="L44" s="0" t="str">
        <f aca="false">"9.18"</f>
        <v>9.18</v>
      </c>
      <c r="M44" s="0" t="str">
        <f aca="false">"108.5"</f>
        <v>108.5</v>
      </c>
    </row>
    <row r="45" customFormat="false" ht="12.8" hidden="false" customHeight="false" outlineLevel="0" collapsed="false">
      <c r="A45" s="0" t="s">
        <v>1995</v>
      </c>
      <c r="B45" s="0" t="s">
        <v>9</v>
      </c>
      <c r="C45" s="0" t="str">
        <f aca="false">"441-452"</f>
        <v>441-452</v>
      </c>
      <c r="D45" s="0" t="s">
        <v>9</v>
      </c>
      <c r="E45" s="0" t="str">
        <f aca="false">"653-664"</f>
        <v>653-664</v>
      </c>
      <c r="F45" s="0" t="s">
        <v>2039</v>
      </c>
      <c r="G45" s="0" t="s">
        <v>9</v>
      </c>
      <c r="H45" s="0" t="str">
        <f aca="false">"296-307"</f>
        <v>296-307</v>
      </c>
      <c r="I45" s="0" t="s">
        <v>9</v>
      </c>
      <c r="J45" s="0" t="str">
        <f aca="false">"413-424"</f>
        <v>413-424</v>
      </c>
      <c r="K45" s="0" t="str">
        <f aca="false">"0.98"</f>
        <v>0.98</v>
      </c>
      <c r="L45" s="0" t="str">
        <f aca="false">"9.48"</f>
        <v>9.48</v>
      </c>
      <c r="M45" s="0" t="str">
        <f aca="false">"103.1"</f>
        <v>103.1</v>
      </c>
    </row>
    <row r="46" customFormat="false" ht="12.8" hidden="false" customHeight="false" outlineLevel="0" collapsed="false">
      <c r="A46" s="0" t="s">
        <v>1995</v>
      </c>
      <c r="B46" s="0" t="s">
        <v>9</v>
      </c>
      <c r="C46" s="0" t="str">
        <f aca="false">"442-453"</f>
        <v>442-453</v>
      </c>
      <c r="D46" s="0" t="s">
        <v>9</v>
      </c>
      <c r="E46" s="0" t="str">
        <f aca="false">"652-663"</f>
        <v>652-663</v>
      </c>
      <c r="F46" s="0" t="s">
        <v>2040</v>
      </c>
      <c r="G46" s="0" t="s">
        <v>9</v>
      </c>
      <c r="H46" s="0" t="str">
        <f aca="false">"78-89"</f>
        <v>78-89</v>
      </c>
      <c r="I46" s="0" t="s">
        <v>9</v>
      </c>
      <c r="J46" s="0" t="str">
        <f aca="false">"44-55"</f>
        <v>44-55</v>
      </c>
      <c r="K46" s="0" t="str">
        <f aca="false">"0.99"</f>
        <v>0.99</v>
      </c>
      <c r="L46" s="0" t="str">
        <f aca="false">"10.10"</f>
        <v>10.10</v>
      </c>
      <c r="M46" s="0" t="str">
        <f aca="false">"100.1"</f>
        <v>100.1</v>
      </c>
    </row>
    <row r="47" customFormat="false" ht="12.8" hidden="false" customHeight="false" outlineLevel="0" collapsed="false">
      <c r="A47" s="0" t="s">
        <v>1995</v>
      </c>
      <c r="B47" s="0" t="s">
        <v>9</v>
      </c>
      <c r="C47" s="0" t="str">
        <f aca="false">"441-452"</f>
        <v>441-452</v>
      </c>
      <c r="D47" s="0" t="s">
        <v>9</v>
      </c>
      <c r="E47" s="0" t="str">
        <f aca="false">"653-664"</f>
        <v>653-664</v>
      </c>
      <c r="F47" s="0" t="s">
        <v>2041</v>
      </c>
      <c r="G47" s="0" t="s">
        <v>9</v>
      </c>
      <c r="H47" s="0" t="str">
        <f aca="false">"330-341"</f>
        <v>330-341</v>
      </c>
      <c r="I47" s="0" t="s">
        <v>9</v>
      </c>
      <c r="J47" s="0" t="str">
        <f aca="false">"252-263"</f>
        <v>252-263</v>
      </c>
      <c r="K47" s="0" t="str">
        <f aca="false">"0.87"</f>
        <v>0.87</v>
      </c>
      <c r="L47" s="0" t="str">
        <f aca="false">"9.71"</f>
        <v>9.71</v>
      </c>
      <c r="M47" s="0" t="str">
        <f aca="false">"104.0"</f>
        <v>104.0</v>
      </c>
    </row>
    <row r="48" customFormat="false" ht="12.8" hidden="false" customHeight="false" outlineLevel="0" collapsed="false">
      <c r="A48" s="0" t="s">
        <v>1995</v>
      </c>
      <c r="B48" s="0" t="s">
        <v>9</v>
      </c>
      <c r="C48" s="0" t="str">
        <f aca="false">"442-453"</f>
        <v>442-453</v>
      </c>
      <c r="D48" s="0" t="s">
        <v>9</v>
      </c>
      <c r="E48" s="0" t="str">
        <f aca="false">"652-663"</f>
        <v>652-663</v>
      </c>
      <c r="F48" s="0" t="s">
        <v>2042</v>
      </c>
      <c r="G48" s="0" t="s">
        <v>9</v>
      </c>
      <c r="H48" s="0" t="str">
        <f aca="false">"267-278"</f>
        <v>267-278</v>
      </c>
      <c r="I48" s="0" t="s">
        <v>9</v>
      </c>
      <c r="J48" s="0" t="str">
        <f aca="false">"247-258"</f>
        <v>247-258</v>
      </c>
      <c r="K48" s="0" t="str">
        <f aca="false">"0.80"</f>
        <v>0.80</v>
      </c>
      <c r="L48" s="0" t="str">
        <f aca="false">"8.21"</f>
        <v>8.21</v>
      </c>
      <c r="M48" s="0" t="str">
        <f aca="false">"116.2"</f>
        <v>116.2</v>
      </c>
    </row>
    <row r="49" customFormat="false" ht="12.8" hidden="false" customHeight="false" outlineLevel="0" collapsed="false">
      <c r="A49" s="0" t="s">
        <v>1995</v>
      </c>
      <c r="B49" s="0" t="s">
        <v>9</v>
      </c>
      <c r="C49" s="0" t="str">
        <f aca="false">"441-452"</f>
        <v>441-452</v>
      </c>
      <c r="D49" s="0" t="s">
        <v>9</v>
      </c>
      <c r="E49" s="0" t="str">
        <f aca="false">"655-666"</f>
        <v>655-666</v>
      </c>
      <c r="F49" s="0" t="s">
        <v>2043</v>
      </c>
      <c r="G49" s="0" t="s">
        <v>9</v>
      </c>
      <c r="H49" s="0" t="str">
        <f aca="false">"325-336"</f>
        <v>325-336</v>
      </c>
      <c r="I49" s="0" t="s">
        <v>9</v>
      </c>
      <c r="J49" s="0" t="str">
        <f aca="false">"244-255"</f>
        <v>244-255</v>
      </c>
      <c r="K49" s="0" t="str">
        <f aca="false">"1.08"</f>
        <v>1.08</v>
      </c>
      <c r="L49" s="0" t="str">
        <f aca="false">"9.57"</f>
        <v>9.57</v>
      </c>
      <c r="M49" s="0" t="str">
        <f aca="false">"113.7"</f>
        <v>113.7</v>
      </c>
    </row>
    <row r="50" customFormat="false" ht="12.8" hidden="false" customHeight="false" outlineLevel="0" collapsed="false">
      <c r="A50" s="0" t="s">
        <v>1995</v>
      </c>
      <c r="B50" s="0" t="s">
        <v>9</v>
      </c>
      <c r="C50" s="0" t="str">
        <f aca="false">"441-452"</f>
        <v>441-452</v>
      </c>
      <c r="D50" s="0" t="s">
        <v>9</v>
      </c>
      <c r="E50" s="0" t="str">
        <f aca="false">"652-663"</f>
        <v>652-663</v>
      </c>
      <c r="F50" s="0" t="s">
        <v>2044</v>
      </c>
      <c r="G50" s="0" t="s">
        <v>9</v>
      </c>
      <c r="H50" s="0" t="str">
        <f aca="false">"113-124"</f>
        <v>113-124</v>
      </c>
      <c r="I50" s="0" t="s">
        <v>9</v>
      </c>
      <c r="J50" s="0" t="str">
        <f aca="false">"76-87"</f>
        <v>76-87</v>
      </c>
      <c r="K50" s="0" t="str">
        <f aca="false">"1.18"</f>
        <v>1.18</v>
      </c>
      <c r="L50" s="0" t="str">
        <f aca="false">"8.42"</f>
        <v>8.42</v>
      </c>
      <c r="M50" s="0" t="str">
        <f aca="false">"118.0"</f>
        <v>118.0</v>
      </c>
    </row>
    <row r="51" customFormat="false" ht="12.8" hidden="false" customHeight="false" outlineLevel="0" collapsed="false">
      <c r="A51" s="0" t="s">
        <v>1995</v>
      </c>
      <c r="B51" s="0" t="s">
        <v>9</v>
      </c>
      <c r="C51" s="0" t="str">
        <f aca="false">"438-449"</f>
        <v>438-449</v>
      </c>
      <c r="D51" s="0" t="s">
        <v>9</v>
      </c>
      <c r="E51" s="0" t="str">
        <f aca="false">"652-663"</f>
        <v>652-663</v>
      </c>
      <c r="F51" s="0" t="s">
        <v>2045</v>
      </c>
      <c r="G51" s="0" t="s">
        <v>70</v>
      </c>
      <c r="H51" s="0" t="str">
        <f aca="false">"722-733"</f>
        <v>722-733</v>
      </c>
      <c r="I51" s="0" t="s">
        <v>13</v>
      </c>
      <c r="J51" s="0" t="str">
        <f aca="false">"521-532"</f>
        <v>521-532</v>
      </c>
      <c r="K51" s="0" t="str">
        <f aca="false">"1.02"</f>
        <v>1.02</v>
      </c>
      <c r="L51" s="0" t="str">
        <f aca="false">"13.21"</f>
        <v>13.21</v>
      </c>
      <c r="M51" s="0" t="str">
        <f aca="false">"111.3"</f>
        <v>111.3</v>
      </c>
    </row>
    <row r="52" customFormat="false" ht="12.8" hidden="false" customHeight="false" outlineLevel="0" collapsed="false">
      <c r="A52" s="0" t="s">
        <v>1995</v>
      </c>
      <c r="B52" s="0" t="s">
        <v>9</v>
      </c>
      <c r="C52" s="0" t="str">
        <f aca="false">"442-453"</f>
        <v>442-453</v>
      </c>
      <c r="D52" s="0" t="s">
        <v>9</v>
      </c>
      <c r="E52" s="0" t="str">
        <f aca="false">"652-663"</f>
        <v>652-663</v>
      </c>
      <c r="F52" s="0" t="s">
        <v>2046</v>
      </c>
      <c r="G52" s="0" t="s">
        <v>9</v>
      </c>
      <c r="H52" s="0" t="str">
        <f aca="false">"81-92"</f>
        <v>81-92</v>
      </c>
      <c r="I52" s="0" t="s">
        <v>9</v>
      </c>
      <c r="J52" s="0" t="str">
        <f aca="false">"49-60"</f>
        <v>49-60</v>
      </c>
      <c r="K52" s="0" t="str">
        <f aca="false">"1.11"</f>
        <v>1.11</v>
      </c>
      <c r="L52" s="0" t="str">
        <f aca="false">"10.54"</f>
        <v>10.54</v>
      </c>
      <c r="M52" s="0" t="str">
        <f aca="false">"97.5"</f>
        <v>97.5</v>
      </c>
    </row>
    <row r="53" customFormat="false" ht="12.8" hidden="false" customHeight="false" outlineLevel="0" collapsed="false">
      <c r="A53" s="0" t="s">
        <v>1995</v>
      </c>
      <c r="B53" s="0" t="s">
        <v>9</v>
      </c>
      <c r="C53" s="0" t="str">
        <f aca="false">"445-456"</f>
        <v>445-456</v>
      </c>
      <c r="D53" s="0" t="s">
        <v>9</v>
      </c>
      <c r="E53" s="0" t="str">
        <f aca="false">"652-663"</f>
        <v>652-663</v>
      </c>
      <c r="F53" s="0" t="s">
        <v>2047</v>
      </c>
      <c r="G53" s="0" t="s">
        <v>9</v>
      </c>
      <c r="H53" s="0" t="str">
        <f aca="false">"217-228"</f>
        <v>217-228</v>
      </c>
      <c r="I53" s="0" t="s">
        <v>9</v>
      </c>
      <c r="J53" s="0" t="str">
        <f aca="false">"200-211"</f>
        <v>200-211</v>
      </c>
      <c r="K53" s="0" t="str">
        <f aca="false">"1.14"</f>
        <v>1.14</v>
      </c>
      <c r="L53" s="0" t="str">
        <f aca="false">"8.71"</f>
        <v>8.71</v>
      </c>
      <c r="M53" s="0" t="str">
        <f aca="false">"109.7"</f>
        <v>109.7</v>
      </c>
    </row>
    <row r="54" customFormat="false" ht="12.8" hidden="false" customHeight="false" outlineLevel="0" collapsed="false">
      <c r="A54" s="0" t="s">
        <v>1995</v>
      </c>
      <c r="B54" s="0" t="s">
        <v>9</v>
      </c>
      <c r="C54" s="0" t="str">
        <f aca="false">"443-454"</f>
        <v>443-454</v>
      </c>
      <c r="D54" s="0" t="s">
        <v>9</v>
      </c>
      <c r="E54" s="0" t="str">
        <f aca="false">"652-663"</f>
        <v>652-663</v>
      </c>
      <c r="F54" s="0" t="s">
        <v>2048</v>
      </c>
      <c r="G54" s="0" t="s">
        <v>24</v>
      </c>
      <c r="H54" s="0" t="str">
        <f aca="false">"45-56"</f>
        <v>45-56</v>
      </c>
      <c r="I54" s="0" t="s">
        <v>24</v>
      </c>
      <c r="J54" s="0" t="str">
        <f aca="false">"150-161"</f>
        <v>150-161</v>
      </c>
      <c r="K54" s="0" t="str">
        <f aca="false">"1.21"</f>
        <v>1.21</v>
      </c>
      <c r="L54" s="0" t="str">
        <f aca="false">"8.88"</f>
        <v>8.88</v>
      </c>
      <c r="M54" s="0" t="str">
        <f aca="false">"113.9"</f>
        <v>113.9</v>
      </c>
    </row>
    <row r="55" customFormat="false" ht="12.8" hidden="false" customHeight="false" outlineLevel="0" collapsed="false">
      <c r="A55" s="0" t="s">
        <v>1995</v>
      </c>
      <c r="B55" s="0" t="s">
        <v>9</v>
      </c>
      <c r="C55" s="0" t="str">
        <f aca="false">"442-453"</f>
        <v>442-453</v>
      </c>
      <c r="D55" s="0" t="s">
        <v>9</v>
      </c>
      <c r="E55" s="0" t="str">
        <f aca="false">"653-664"</f>
        <v>653-664</v>
      </c>
      <c r="F55" s="0" t="s">
        <v>2049</v>
      </c>
      <c r="G55" s="0" t="s">
        <v>13</v>
      </c>
      <c r="H55" s="0" t="str">
        <f aca="false">"26-37"</f>
        <v>26-37</v>
      </c>
      <c r="I55" s="0" t="s">
        <v>13</v>
      </c>
      <c r="J55" s="0" t="str">
        <f aca="false">"52-63"</f>
        <v>52-63</v>
      </c>
      <c r="K55" s="0" t="str">
        <f aca="false">"1.24"</f>
        <v>1.24</v>
      </c>
      <c r="L55" s="0" t="str">
        <f aca="false">"9.20"</f>
        <v>9.20</v>
      </c>
      <c r="M55" s="0" t="str">
        <f aca="false">"114.1"</f>
        <v>114.1</v>
      </c>
    </row>
    <row r="56" customFormat="false" ht="12.8" hidden="false" customHeight="false" outlineLevel="0" collapsed="false">
      <c r="A56" s="0" t="s">
        <v>1995</v>
      </c>
      <c r="B56" s="0" t="s">
        <v>9</v>
      </c>
      <c r="C56" s="0" t="str">
        <f aca="false">"442-453"</f>
        <v>442-453</v>
      </c>
      <c r="D56" s="0" t="s">
        <v>9</v>
      </c>
      <c r="E56" s="0" t="str">
        <f aca="false">"652-663"</f>
        <v>652-663</v>
      </c>
      <c r="F56" s="0" t="s">
        <v>2050</v>
      </c>
      <c r="G56" s="0" t="s">
        <v>9</v>
      </c>
      <c r="H56" s="0" t="str">
        <f aca="false">"241-252"</f>
        <v>241-252</v>
      </c>
      <c r="I56" s="0" t="s">
        <v>9</v>
      </c>
      <c r="J56" s="0" t="str">
        <f aca="false">"223-234"</f>
        <v>223-234</v>
      </c>
      <c r="K56" s="0" t="str">
        <f aca="false">"0.98"</f>
        <v>0.98</v>
      </c>
      <c r="L56" s="0" t="str">
        <f aca="false">"8.87"</f>
        <v>8.87</v>
      </c>
      <c r="M56" s="0" t="str">
        <f aca="false">"114.0"</f>
        <v>114.0</v>
      </c>
    </row>
    <row r="57" customFormat="false" ht="12.8" hidden="false" customHeight="false" outlineLevel="0" collapsed="false">
      <c r="A57" s="0" t="s">
        <v>1995</v>
      </c>
      <c r="B57" s="0" t="s">
        <v>9</v>
      </c>
      <c r="C57" s="0" t="str">
        <f aca="false">"442-453"</f>
        <v>442-453</v>
      </c>
      <c r="D57" s="0" t="s">
        <v>9</v>
      </c>
      <c r="E57" s="0" t="str">
        <f aca="false">"654-665"</f>
        <v>654-665</v>
      </c>
      <c r="F57" s="0" t="s">
        <v>2051</v>
      </c>
      <c r="G57" s="0" t="s">
        <v>9</v>
      </c>
      <c r="H57" s="0" t="str">
        <f aca="false">"169-180"</f>
        <v>169-180</v>
      </c>
      <c r="I57" s="0" t="s">
        <v>9</v>
      </c>
      <c r="J57" s="0" t="str">
        <f aca="false">"193-204"</f>
        <v>193-204</v>
      </c>
      <c r="K57" s="0" t="str">
        <f aca="false">"1.07"</f>
        <v>1.07</v>
      </c>
      <c r="L57" s="0" t="str">
        <f aca="false">"10.81"</f>
        <v>10.81</v>
      </c>
      <c r="M57" s="0" t="str">
        <f aca="false">"115.3"</f>
        <v>115.3</v>
      </c>
    </row>
    <row r="58" customFormat="false" ht="12.8" hidden="false" customHeight="false" outlineLevel="0" collapsed="false">
      <c r="A58" s="0" t="s">
        <v>1995</v>
      </c>
      <c r="B58" s="0" t="s">
        <v>9</v>
      </c>
      <c r="C58" s="0" t="str">
        <f aca="false">"442-453"</f>
        <v>442-453</v>
      </c>
      <c r="D58" s="0" t="s">
        <v>9</v>
      </c>
      <c r="E58" s="0" t="str">
        <f aca="false">"650-661"</f>
        <v>650-661</v>
      </c>
      <c r="F58" s="0" t="s">
        <v>2052</v>
      </c>
      <c r="G58" s="0" t="s">
        <v>13</v>
      </c>
      <c r="H58" s="0" t="str">
        <f aca="false">"145-156"</f>
        <v>145-156</v>
      </c>
      <c r="I58" s="0" t="s">
        <v>13</v>
      </c>
      <c r="J58" s="0" t="str">
        <f aca="false">"242-253"</f>
        <v>242-253</v>
      </c>
      <c r="K58" s="0" t="str">
        <f aca="false">"1.25"</f>
        <v>1.25</v>
      </c>
      <c r="L58" s="0" t="str">
        <f aca="false">"11.59"</f>
        <v>11.59</v>
      </c>
      <c r="M58" s="0" t="str">
        <f aca="false">"119.6"</f>
        <v>119.6</v>
      </c>
    </row>
    <row r="59" customFormat="false" ht="12.8" hidden="false" customHeight="false" outlineLevel="0" collapsed="false">
      <c r="A59" s="0" t="s">
        <v>1995</v>
      </c>
      <c r="B59" s="0" t="s">
        <v>9</v>
      </c>
      <c r="C59" s="0" t="str">
        <f aca="false">"441-452"</f>
        <v>441-452</v>
      </c>
      <c r="D59" s="0" t="s">
        <v>9</v>
      </c>
      <c r="E59" s="0" t="str">
        <f aca="false">"647-658"</f>
        <v>647-658</v>
      </c>
      <c r="F59" s="0" t="s">
        <v>2053</v>
      </c>
      <c r="G59" s="0" t="s">
        <v>9</v>
      </c>
      <c r="H59" s="0" t="str">
        <f aca="false">"302-313"</f>
        <v>302-313</v>
      </c>
      <c r="I59" s="0" t="s">
        <v>9</v>
      </c>
      <c r="J59" s="0" t="str">
        <f aca="false">"273-284"</f>
        <v>273-284</v>
      </c>
      <c r="K59" s="0" t="str">
        <f aca="false">"1.25"</f>
        <v>1.25</v>
      </c>
      <c r="L59" s="0" t="str">
        <f aca="false">"13.85"</f>
        <v>13.85</v>
      </c>
      <c r="M59" s="0" t="str">
        <f aca="false">"101.2"</f>
        <v>101.2</v>
      </c>
    </row>
    <row r="60" customFormat="false" ht="12.8" hidden="false" customHeight="false" outlineLevel="0" collapsed="false">
      <c r="A60" s="0" t="s">
        <v>1995</v>
      </c>
      <c r="B60" s="0" t="s">
        <v>9</v>
      </c>
      <c r="C60" s="0" t="str">
        <f aca="false">"441-452"</f>
        <v>441-452</v>
      </c>
      <c r="D60" s="0" t="s">
        <v>9</v>
      </c>
      <c r="E60" s="0" t="str">
        <f aca="false">"648-659"</f>
        <v>648-659</v>
      </c>
      <c r="F60" s="0" t="s">
        <v>2054</v>
      </c>
      <c r="G60" s="0" t="s">
        <v>9</v>
      </c>
      <c r="H60" s="0" t="str">
        <f aca="false">"240-251"</f>
        <v>240-251</v>
      </c>
      <c r="I60" s="0" t="s">
        <v>9</v>
      </c>
      <c r="J60" s="0" t="str">
        <f aca="false">"265-276"</f>
        <v>265-276</v>
      </c>
      <c r="K60" s="0" t="str">
        <f aca="false">"1.20"</f>
        <v>1.20</v>
      </c>
      <c r="L60" s="0" t="str">
        <f aca="false">"11.34"</f>
        <v>11.34</v>
      </c>
      <c r="M60" s="0" t="str">
        <f aca="false">"107.3"</f>
        <v>107.3</v>
      </c>
    </row>
    <row r="61" customFormat="false" ht="12.8" hidden="false" customHeight="false" outlineLevel="0" collapsed="false">
      <c r="A61" s="0" t="s">
        <v>1995</v>
      </c>
      <c r="B61" s="0" t="s">
        <v>9</v>
      </c>
      <c r="C61" s="0" t="str">
        <f aca="false">"441-452"</f>
        <v>441-452</v>
      </c>
      <c r="D61" s="0" t="s">
        <v>9</v>
      </c>
      <c r="E61" s="0" t="str">
        <f aca="false">"655-666"</f>
        <v>655-666</v>
      </c>
      <c r="F61" s="0" t="s">
        <v>2055</v>
      </c>
      <c r="G61" s="0" t="s">
        <v>9</v>
      </c>
      <c r="H61" s="0" t="str">
        <f aca="false">"304-315"</f>
        <v>304-315</v>
      </c>
      <c r="I61" s="0" t="s">
        <v>9</v>
      </c>
      <c r="J61" s="0" t="str">
        <f aca="false">"243-254"</f>
        <v>243-254</v>
      </c>
      <c r="K61" s="0" t="str">
        <f aca="false">"1.23"</f>
        <v>1.23</v>
      </c>
      <c r="L61" s="0" t="str">
        <f aca="false">"10.14"</f>
        <v>10.14</v>
      </c>
      <c r="M61" s="0" t="str">
        <f aca="false">"101.1"</f>
        <v>101.1</v>
      </c>
    </row>
    <row r="62" customFormat="false" ht="12.8" hidden="false" customHeight="false" outlineLevel="0" collapsed="false">
      <c r="A62" s="0" t="s">
        <v>1995</v>
      </c>
      <c r="B62" s="0" t="s">
        <v>9</v>
      </c>
      <c r="C62" s="0" t="str">
        <f aca="false">"441-452"</f>
        <v>441-452</v>
      </c>
      <c r="D62" s="0" t="s">
        <v>9</v>
      </c>
      <c r="E62" s="0" t="str">
        <f aca="false">"655-666"</f>
        <v>655-666</v>
      </c>
      <c r="F62" s="0" t="s">
        <v>2056</v>
      </c>
      <c r="G62" s="0" t="s">
        <v>9</v>
      </c>
      <c r="H62" s="0" t="str">
        <f aca="false">"259-270"</f>
        <v>259-270</v>
      </c>
      <c r="I62" s="0" t="s">
        <v>9</v>
      </c>
      <c r="J62" s="0" t="str">
        <f aca="false">"196-207"</f>
        <v>196-207</v>
      </c>
      <c r="K62" s="0" t="str">
        <f aca="false">"1.23"</f>
        <v>1.23</v>
      </c>
      <c r="L62" s="0" t="str">
        <f aca="false">"10.15"</f>
        <v>10.15</v>
      </c>
      <c r="M62" s="0" t="str">
        <f aca="false">"108.2"</f>
        <v>108.2</v>
      </c>
    </row>
    <row r="63" customFormat="false" ht="12.8" hidden="false" customHeight="false" outlineLevel="0" collapsed="false">
      <c r="A63" s="0" t="s">
        <v>1995</v>
      </c>
      <c r="B63" s="0" t="s">
        <v>9</v>
      </c>
      <c r="C63" s="0" t="str">
        <f aca="false">"443-454"</f>
        <v>443-454</v>
      </c>
      <c r="D63" s="0" t="s">
        <v>9</v>
      </c>
      <c r="E63" s="0" t="str">
        <f aca="false">"648-659"</f>
        <v>648-659</v>
      </c>
      <c r="F63" s="0" t="s">
        <v>2057</v>
      </c>
      <c r="G63" s="0" t="s">
        <v>9</v>
      </c>
      <c r="H63" s="0" t="str">
        <f aca="false">"244-255"</f>
        <v>244-255</v>
      </c>
      <c r="I63" s="0" t="s">
        <v>9</v>
      </c>
      <c r="J63" s="0" t="str">
        <f aca="false">"271-282"</f>
        <v>271-282</v>
      </c>
      <c r="K63" s="0" t="str">
        <f aca="false">"1.23"</f>
        <v>1.23</v>
      </c>
      <c r="L63" s="0" t="str">
        <f aca="false">"11.65"</f>
        <v>11.65</v>
      </c>
      <c r="M63" s="0" t="str">
        <f aca="false">"111.5"</f>
        <v>111.5</v>
      </c>
    </row>
    <row r="64" customFormat="false" ht="12.8" hidden="false" customHeight="false" outlineLevel="0" collapsed="false">
      <c r="A64" s="0" t="s">
        <v>1995</v>
      </c>
      <c r="B64" s="0" t="s">
        <v>9</v>
      </c>
      <c r="C64" s="0" t="str">
        <f aca="false">"437-448"</f>
        <v>437-448</v>
      </c>
      <c r="D64" s="0" t="s">
        <v>9</v>
      </c>
      <c r="E64" s="0" t="str">
        <f aca="false">"653-664"</f>
        <v>653-664</v>
      </c>
      <c r="F64" s="0" t="s">
        <v>2058</v>
      </c>
      <c r="G64" s="0" t="s">
        <v>9</v>
      </c>
      <c r="H64" s="0" t="str">
        <f aca="false">"290-301"</f>
        <v>290-301</v>
      </c>
      <c r="I64" s="0" t="s">
        <v>9</v>
      </c>
      <c r="J64" s="0" t="str">
        <f aca="false">"229-240"</f>
        <v>229-240</v>
      </c>
      <c r="K64" s="0" t="str">
        <f aca="false">"1.24"</f>
        <v>1.24</v>
      </c>
      <c r="L64" s="0" t="str">
        <f aca="false">"12.86"</f>
        <v>12.86</v>
      </c>
      <c r="M64" s="0" t="str">
        <f aca="false">"107.9"</f>
        <v>107.9</v>
      </c>
    </row>
    <row r="65" customFormat="false" ht="12.8" hidden="false" customHeight="false" outlineLevel="0" collapsed="false">
      <c r="A65" s="0" t="s">
        <v>1995</v>
      </c>
      <c r="B65" s="0" t="s">
        <v>9</v>
      </c>
      <c r="C65" s="0" t="str">
        <f aca="false">"438-449"</f>
        <v>438-449</v>
      </c>
      <c r="D65" s="0" t="s">
        <v>9</v>
      </c>
      <c r="E65" s="0" t="str">
        <f aca="false">"653-664"</f>
        <v>653-664</v>
      </c>
      <c r="F65" s="0" t="s">
        <v>2059</v>
      </c>
      <c r="G65" s="0" t="s">
        <v>9</v>
      </c>
      <c r="H65" s="0" t="str">
        <f aca="false">"288-299"</f>
        <v>288-299</v>
      </c>
      <c r="I65" s="0" t="s">
        <v>9</v>
      </c>
      <c r="J65" s="0" t="str">
        <f aca="false">"226-237"</f>
        <v>226-237</v>
      </c>
      <c r="K65" s="0" t="str">
        <f aca="false">"1.15"</f>
        <v>1.15</v>
      </c>
      <c r="L65" s="0" t="str">
        <f aca="false">"11.93"</f>
        <v>11.93</v>
      </c>
      <c r="M65" s="0" t="str">
        <f aca="false">"108.5"</f>
        <v>108.5</v>
      </c>
    </row>
    <row r="66" customFormat="false" ht="12.8" hidden="false" customHeight="false" outlineLevel="0" collapsed="false">
      <c r="A66" s="0" t="s">
        <v>1995</v>
      </c>
      <c r="B66" s="0" t="s">
        <v>9</v>
      </c>
      <c r="C66" s="0" t="str">
        <f aca="false">"443-454"</f>
        <v>443-454</v>
      </c>
      <c r="D66" s="0" t="s">
        <v>9</v>
      </c>
      <c r="E66" s="0" t="str">
        <f aca="false">"651-662"</f>
        <v>651-662</v>
      </c>
      <c r="F66" s="0" t="s">
        <v>2060</v>
      </c>
      <c r="G66" s="0" t="s">
        <v>9</v>
      </c>
      <c r="H66" s="0" t="str">
        <f aca="false">"68-79"</f>
        <v>68-79</v>
      </c>
      <c r="I66" s="0" t="s">
        <v>9</v>
      </c>
      <c r="J66" s="0" t="str">
        <f aca="false">"95-106"</f>
        <v>95-106</v>
      </c>
      <c r="K66" s="0" t="str">
        <f aca="false">"0.89"</f>
        <v>0.89</v>
      </c>
      <c r="L66" s="0" t="str">
        <f aca="false">"10.09"</f>
        <v>10.09</v>
      </c>
      <c r="M66" s="0" t="str">
        <f aca="false">"108.1"</f>
        <v>108.1</v>
      </c>
    </row>
    <row r="67" customFormat="false" ht="12.8" hidden="false" customHeight="false" outlineLevel="0" collapsed="false">
      <c r="A67" s="0" t="s">
        <v>1995</v>
      </c>
      <c r="B67" s="0" t="s">
        <v>9</v>
      </c>
      <c r="C67" s="0" t="str">
        <f aca="false">"441-452"</f>
        <v>441-452</v>
      </c>
      <c r="D67" s="0" t="s">
        <v>9</v>
      </c>
      <c r="E67" s="0" t="str">
        <f aca="false">"653-664"</f>
        <v>653-664</v>
      </c>
      <c r="F67" s="0" t="s">
        <v>2061</v>
      </c>
      <c r="G67" s="0" t="s">
        <v>9</v>
      </c>
      <c r="H67" s="0" t="str">
        <f aca="false">"269-280"</f>
        <v>269-280</v>
      </c>
      <c r="I67" s="0" t="s">
        <v>9</v>
      </c>
      <c r="J67" s="0" t="str">
        <f aca="false">"210-221"</f>
        <v>210-221</v>
      </c>
      <c r="K67" s="0" t="str">
        <f aca="false">"0.94"</f>
        <v>0.94</v>
      </c>
      <c r="L67" s="0" t="str">
        <f aca="false">"9.73"</f>
        <v>9.73</v>
      </c>
      <c r="M67" s="0" t="str">
        <f aca="false">"104.9"</f>
        <v>104.9</v>
      </c>
    </row>
    <row r="68" customFormat="false" ht="12.8" hidden="false" customHeight="false" outlineLevel="0" collapsed="false">
      <c r="A68" s="0" t="s">
        <v>1995</v>
      </c>
      <c r="B68" s="0" t="s">
        <v>9</v>
      </c>
      <c r="C68" s="0" t="str">
        <f aca="false">"442-453"</f>
        <v>442-453</v>
      </c>
      <c r="D68" s="0" t="s">
        <v>9</v>
      </c>
      <c r="E68" s="0" t="str">
        <f aca="false">"648-659"</f>
        <v>648-659</v>
      </c>
      <c r="F68" s="0" t="s">
        <v>2062</v>
      </c>
      <c r="G68" s="0" t="s">
        <v>71</v>
      </c>
      <c r="H68" s="0" t="str">
        <f aca="false">"260-271"</f>
        <v>260-271</v>
      </c>
      <c r="I68" s="0" t="s">
        <v>13</v>
      </c>
      <c r="J68" s="0" t="str">
        <f aca="false">"83-94"</f>
        <v>83-94</v>
      </c>
      <c r="K68" s="0" t="str">
        <f aca="false">"1.21"</f>
        <v>1.21</v>
      </c>
      <c r="L68" s="0" t="str">
        <f aca="false">"12.20"</f>
        <v>12.20</v>
      </c>
      <c r="M68" s="0" t="str">
        <f aca="false">"86.4"</f>
        <v>86.4</v>
      </c>
    </row>
    <row r="69" customFormat="false" ht="12.8" hidden="false" customHeight="false" outlineLevel="0" collapsed="false">
      <c r="A69" s="0" t="s">
        <v>1995</v>
      </c>
      <c r="B69" s="0" t="s">
        <v>9</v>
      </c>
      <c r="C69" s="0" t="str">
        <f aca="false">"436-447"</f>
        <v>436-447</v>
      </c>
      <c r="D69" s="0" t="s">
        <v>9</v>
      </c>
      <c r="E69" s="0" t="str">
        <f aca="false">"650-661"</f>
        <v>650-661</v>
      </c>
      <c r="F69" s="0" t="s">
        <v>2063</v>
      </c>
      <c r="G69" s="0" t="s">
        <v>9</v>
      </c>
      <c r="H69" s="0" t="str">
        <f aca="false">"175-186"</f>
        <v>175-186</v>
      </c>
      <c r="I69" s="0" t="s">
        <v>9</v>
      </c>
      <c r="J69" s="0" t="str">
        <f aca="false">"237-248"</f>
        <v>237-248</v>
      </c>
      <c r="K69" s="0" t="str">
        <f aca="false">"1.10"</f>
        <v>1.10</v>
      </c>
      <c r="L69" s="0" t="str">
        <f aca="false">"14.79"</f>
        <v>14.79</v>
      </c>
      <c r="M69" s="0" t="str">
        <f aca="false">"110.9"</f>
        <v>110.9</v>
      </c>
    </row>
    <row r="70" customFormat="false" ht="12.8" hidden="false" customHeight="false" outlineLevel="0" collapsed="false">
      <c r="A70" s="0" t="s">
        <v>1995</v>
      </c>
      <c r="B70" s="0" t="s">
        <v>9</v>
      </c>
      <c r="C70" s="0" t="str">
        <f aca="false">"438-449"</f>
        <v>438-449</v>
      </c>
      <c r="D70" s="0" t="s">
        <v>9</v>
      </c>
      <c r="E70" s="0" t="str">
        <f aca="false">"651-662"</f>
        <v>651-662</v>
      </c>
      <c r="F70" s="0" t="s">
        <v>2064</v>
      </c>
      <c r="G70" s="0" t="s">
        <v>13</v>
      </c>
      <c r="H70" s="0" t="str">
        <f aca="false">"59-70"</f>
        <v>59-70</v>
      </c>
      <c r="I70" s="0" t="s">
        <v>13</v>
      </c>
      <c r="J70" s="0" t="str">
        <f aca="false">"78-89"</f>
        <v>78-89</v>
      </c>
      <c r="K70" s="0" t="str">
        <f aca="false">"1.10"</f>
        <v>1.10</v>
      </c>
      <c r="L70" s="0" t="str">
        <f aca="false">"11.81"</f>
        <v>11.81</v>
      </c>
      <c r="M70" s="0" t="str">
        <f aca="false">"123.5"</f>
        <v>123.5</v>
      </c>
    </row>
    <row r="71" customFormat="false" ht="12.8" hidden="false" customHeight="false" outlineLevel="0" collapsed="false">
      <c r="A71" s="0" t="s">
        <v>1995</v>
      </c>
      <c r="B71" s="0" t="s">
        <v>9</v>
      </c>
      <c r="C71" s="0" t="str">
        <f aca="false">"441-452"</f>
        <v>441-452</v>
      </c>
      <c r="D71" s="0" t="s">
        <v>9</v>
      </c>
      <c r="E71" s="0" t="str">
        <f aca="false">"656-667"</f>
        <v>656-667</v>
      </c>
      <c r="F71" s="0" t="s">
        <v>2065</v>
      </c>
      <c r="G71" s="0" t="s">
        <v>9</v>
      </c>
      <c r="H71" s="0" t="str">
        <f aca="false">"65-76"</f>
        <v>65-76</v>
      </c>
      <c r="I71" s="0" t="s">
        <v>13</v>
      </c>
      <c r="J71" s="0" t="str">
        <f aca="false">"1345-1356"</f>
        <v>1345-1356</v>
      </c>
      <c r="K71" s="0" t="str">
        <f aca="false">"0.71"</f>
        <v>0.71</v>
      </c>
      <c r="L71" s="0" t="str">
        <f aca="false">"10.60"</f>
        <v>10.60</v>
      </c>
      <c r="M71" s="0" t="str">
        <f aca="false">"112.2"</f>
        <v>112.2</v>
      </c>
    </row>
    <row r="72" customFormat="false" ht="12.8" hidden="false" customHeight="false" outlineLevel="0" collapsed="false">
      <c r="A72" s="0" t="s">
        <v>1995</v>
      </c>
      <c r="B72" s="0" t="s">
        <v>9</v>
      </c>
      <c r="C72" s="0" t="str">
        <f aca="false">"441-452"</f>
        <v>441-452</v>
      </c>
      <c r="D72" s="0" t="s">
        <v>9</v>
      </c>
      <c r="E72" s="0" t="str">
        <f aca="false">"656-667"</f>
        <v>656-667</v>
      </c>
      <c r="F72" s="0" t="s">
        <v>2066</v>
      </c>
      <c r="G72" s="0" t="s">
        <v>9</v>
      </c>
      <c r="H72" s="0" t="str">
        <f aca="false">"17-28"</f>
        <v>17-28</v>
      </c>
      <c r="I72" s="0" t="s">
        <v>9</v>
      </c>
      <c r="J72" s="0" t="str">
        <f aca="false">"151-162"</f>
        <v>151-162</v>
      </c>
      <c r="K72" s="0" t="str">
        <f aca="false">"1.14"</f>
        <v>1.14</v>
      </c>
      <c r="L72" s="0" t="str">
        <f aca="false">"11.45"</f>
        <v>11.45</v>
      </c>
      <c r="M72" s="0" t="str">
        <f aca="false">"117.5"</f>
        <v>117.5</v>
      </c>
    </row>
    <row r="73" customFormat="false" ht="12.8" hidden="false" customHeight="false" outlineLevel="0" collapsed="false">
      <c r="A73" s="0" t="s">
        <v>1995</v>
      </c>
      <c r="B73" s="0" t="s">
        <v>9</v>
      </c>
      <c r="C73" s="0" t="str">
        <f aca="false">"435-446"</f>
        <v>435-446</v>
      </c>
      <c r="D73" s="0" t="s">
        <v>9</v>
      </c>
      <c r="E73" s="0" t="str">
        <f aca="false">"649-660"</f>
        <v>649-660</v>
      </c>
      <c r="F73" s="0" t="s">
        <v>2067</v>
      </c>
      <c r="G73" s="0" t="s">
        <v>9</v>
      </c>
      <c r="H73" s="0" t="str">
        <f aca="false">"180-191"</f>
        <v>180-191</v>
      </c>
      <c r="I73" s="0" t="s">
        <v>9</v>
      </c>
      <c r="J73" s="0" t="str">
        <f aca="false">"27-38"</f>
        <v>27-38</v>
      </c>
      <c r="K73" s="0" t="str">
        <f aca="false">"1.24"</f>
        <v>1.24</v>
      </c>
      <c r="L73" s="0" t="str">
        <f aca="false">"15.73"</f>
        <v>15.73</v>
      </c>
      <c r="M73" s="0" t="str">
        <f aca="false">"79.2"</f>
        <v>79.2</v>
      </c>
    </row>
    <row r="74" customFormat="false" ht="12.8" hidden="false" customHeight="false" outlineLevel="0" collapsed="false">
      <c r="A74" s="0" t="s">
        <v>1995</v>
      </c>
      <c r="B74" s="0" t="s">
        <v>9</v>
      </c>
      <c r="C74" s="0" t="str">
        <f aca="false">"438-449"</f>
        <v>438-449</v>
      </c>
      <c r="D74" s="0" t="s">
        <v>9</v>
      </c>
      <c r="E74" s="0" t="str">
        <f aca="false">"647-658"</f>
        <v>647-658</v>
      </c>
      <c r="F74" s="0" t="s">
        <v>2068</v>
      </c>
      <c r="G74" s="0" t="s">
        <v>13</v>
      </c>
      <c r="H74" s="0" t="str">
        <f aca="false">"75-86"</f>
        <v>75-86</v>
      </c>
      <c r="I74" s="0" t="s">
        <v>13</v>
      </c>
      <c r="J74" s="0" t="str">
        <f aca="false">"27-38"</f>
        <v>27-38</v>
      </c>
      <c r="K74" s="0" t="str">
        <f aca="false">"1.12"</f>
        <v>1.12</v>
      </c>
      <c r="L74" s="0" t="str">
        <f aca="false">"13.88"</f>
        <v>13.88</v>
      </c>
      <c r="M74" s="0" t="str">
        <f aca="false">"115.2"</f>
        <v>115.2</v>
      </c>
    </row>
    <row r="75" customFormat="false" ht="12.8" hidden="false" customHeight="false" outlineLevel="0" collapsed="false">
      <c r="A75" s="0" t="s">
        <v>1995</v>
      </c>
      <c r="B75" s="0" t="s">
        <v>9</v>
      </c>
      <c r="C75" s="0" t="str">
        <f aca="false">"445-456"</f>
        <v>445-456</v>
      </c>
      <c r="D75" s="0" t="s">
        <v>9</v>
      </c>
      <c r="E75" s="0" t="str">
        <f aca="false">"652-663"</f>
        <v>652-663</v>
      </c>
      <c r="F75" s="0" t="s">
        <v>2069</v>
      </c>
      <c r="G75" s="0" t="s">
        <v>9</v>
      </c>
      <c r="H75" s="0" t="str">
        <f aca="false">"29-40"</f>
        <v>29-40</v>
      </c>
      <c r="I75" s="0" t="s">
        <v>9</v>
      </c>
      <c r="J75" s="0" t="str">
        <f aca="false">"66-77"</f>
        <v>66-77</v>
      </c>
      <c r="K75" s="0" t="str">
        <f aca="false">"1.25"</f>
        <v>1.25</v>
      </c>
      <c r="L75" s="0" t="str">
        <f aca="false">"8.44"</f>
        <v>8.44</v>
      </c>
      <c r="M75" s="0" t="str">
        <f aca="false">"105.3"</f>
        <v>105.3</v>
      </c>
    </row>
    <row r="76" customFormat="false" ht="12.8" hidden="false" customHeight="false" outlineLevel="0" collapsed="false">
      <c r="A76" s="0" t="s">
        <v>1995</v>
      </c>
      <c r="B76" s="0" t="s">
        <v>9</v>
      </c>
      <c r="C76" s="0" t="str">
        <f aca="false">"440-451"</f>
        <v>440-451</v>
      </c>
      <c r="D76" s="0" t="s">
        <v>9</v>
      </c>
      <c r="E76" s="0" t="str">
        <f aca="false">"653-664"</f>
        <v>653-664</v>
      </c>
      <c r="F76" s="0" t="s">
        <v>2070</v>
      </c>
      <c r="G76" s="0" t="s">
        <v>9</v>
      </c>
      <c r="H76" s="0" t="str">
        <f aca="false">"263-274"</f>
        <v>263-274</v>
      </c>
      <c r="I76" s="0" t="s">
        <v>9</v>
      </c>
      <c r="J76" s="0" t="str">
        <f aca="false">"387-398"</f>
        <v>387-398</v>
      </c>
      <c r="K76" s="0" t="str">
        <f aca="false">"1.22"</f>
        <v>1.22</v>
      </c>
      <c r="L76" s="0" t="str">
        <f aca="false">"9.58"</f>
        <v>9.58</v>
      </c>
      <c r="M76" s="0" t="str">
        <f aca="false">"106.5"</f>
        <v>106.5</v>
      </c>
    </row>
    <row r="77" customFormat="false" ht="12.8" hidden="false" customHeight="false" outlineLevel="0" collapsed="false">
      <c r="A77" s="0" t="s">
        <v>1995</v>
      </c>
      <c r="B77" s="0" t="s">
        <v>9</v>
      </c>
      <c r="C77" s="0" t="str">
        <f aca="false">"442-453"</f>
        <v>442-453</v>
      </c>
      <c r="D77" s="0" t="s">
        <v>9</v>
      </c>
      <c r="E77" s="0" t="str">
        <f aca="false">"653-664"</f>
        <v>653-664</v>
      </c>
      <c r="F77" s="0" t="s">
        <v>2071</v>
      </c>
      <c r="G77" s="0" t="s">
        <v>9</v>
      </c>
      <c r="H77" s="0" t="str">
        <f aca="false">"201-212"</f>
        <v>201-212</v>
      </c>
      <c r="I77" s="0" t="s">
        <v>9</v>
      </c>
      <c r="J77" s="0" t="str">
        <f aca="false">"261-272"</f>
        <v>261-272</v>
      </c>
      <c r="K77" s="0" t="str">
        <f aca="false">"1.11"</f>
        <v>1.11</v>
      </c>
      <c r="L77" s="0" t="str">
        <f aca="false">"10.42"</f>
        <v>10.42</v>
      </c>
      <c r="M77" s="0" t="str">
        <f aca="false">"100.8"</f>
        <v>100.8</v>
      </c>
    </row>
    <row r="78" customFormat="false" ht="12.8" hidden="false" customHeight="false" outlineLevel="0" collapsed="false">
      <c r="A78" s="0" t="s">
        <v>1995</v>
      </c>
      <c r="B78" s="0" t="s">
        <v>9</v>
      </c>
      <c r="C78" s="0" t="str">
        <f aca="false">"442-453"</f>
        <v>442-453</v>
      </c>
      <c r="D78" s="0" t="s">
        <v>9</v>
      </c>
      <c r="E78" s="0" t="str">
        <f aca="false">"652-663"</f>
        <v>652-663</v>
      </c>
      <c r="F78" s="0" t="s">
        <v>2072</v>
      </c>
      <c r="G78" s="0" t="s">
        <v>9</v>
      </c>
      <c r="H78" s="0" t="str">
        <f aca="false">"212-223"</f>
        <v>212-223</v>
      </c>
      <c r="I78" s="0" t="s">
        <v>9</v>
      </c>
      <c r="J78" s="0" t="str">
        <f aca="false">"237-248"</f>
        <v>237-248</v>
      </c>
      <c r="K78" s="0" t="str">
        <f aca="false">"1.08"</f>
        <v>1.08</v>
      </c>
      <c r="L78" s="0" t="str">
        <f aca="false">"8.26"</f>
        <v>8.26</v>
      </c>
      <c r="M78" s="0" t="str">
        <f aca="false">"110.9"</f>
        <v>110.9</v>
      </c>
    </row>
    <row r="79" customFormat="false" ht="12.8" hidden="false" customHeight="false" outlineLevel="0" collapsed="false">
      <c r="A79" s="0" t="s">
        <v>1995</v>
      </c>
      <c r="B79" s="0" t="s">
        <v>9</v>
      </c>
      <c r="C79" s="0" t="str">
        <f aca="false">"442-453"</f>
        <v>442-453</v>
      </c>
      <c r="D79" s="0" t="s">
        <v>9</v>
      </c>
      <c r="E79" s="0" t="str">
        <f aca="false">"654-665"</f>
        <v>654-665</v>
      </c>
      <c r="F79" s="0" t="s">
        <v>2073</v>
      </c>
      <c r="G79" s="0" t="s">
        <v>13</v>
      </c>
      <c r="H79" s="0" t="str">
        <f aca="false">"326-337"</f>
        <v>326-337</v>
      </c>
      <c r="I79" s="0" t="s">
        <v>1464</v>
      </c>
      <c r="J79" s="0" t="str">
        <f aca="false">"346-357"</f>
        <v>346-357</v>
      </c>
      <c r="K79" s="0" t="str">
        <f aca="false">"1.17"</f>
        <v>1.17</v>
      </c>
      <c r="L79" s="0" t="str">
        <f aca="false">"9.99"</f>
        <v>9.99</v>
      </c>
      <c r="M79" s="0" t="str">
        <f aca="false">"107.9"</f>
        <v>107.9</v>
      </c>
    </row>
    <row r="80" customFormat="false" ht="12.8" hidden="false" customHeight="false" outlineLevel="0" collapsed="false">
      <c r="A80" s="0" t="s">
        <v>1995</v>
      </c>
      <c r="B80" s="0" t="s">
        <v>9</v>
      </c>
      <c r="C80" s="0" t="str">
        <f aca="false">"443-454"</f>
        <v>443-454</v>
      </c>
      <c r="D80" s="0" t="s">
        <v>9</v>
      </c>
      <c r="E80" s="0" t="str">
        <f aca="false">"656-667"</f>
        <v>656-667</v>
      </c>
      <c r="F80" s="0" t="s">
        <v>2074</v>
      </c>
      <c r="G80" s="0" t="s">
        <v>9</v>
      </c>
      <c r="H80" s="0" t="str">
        <f aca="false">"8-19"</f>
        <v>8-19</v>
      </c>
      <c r="I80" s="0" t="s">
        <v>9</v>
      </c>
      <c r="J80" s="0" t="str">
        <f aca="false">"60-71"</f>
        <v>60-71</v>
      </c>
      <c r="K80" s="0" t="str">
        <f aca="false">"1.10"</f>
        <v>1.10</v>
      </c>
      <c r="L80" s="0" t="str">
        <f aca="false">"9.55"</f>
        <v>9.55</v>
      </c>
      <c r="M80" s="0" t="str">
        <f aca="false">"99.3"</f>
        <v>99.3</v>
      </c>
    </row>
    <row r="81" customFormat="false" ht="12.8" hidden="false" customHeight="false" outlineLevel="0" collapsed="false">
      <c r="A81" s="0" t="s">
        <v>1995</v>
      </c>
      <c r="B81" s="0" t="s">
        <v>9</v>
      </c>
      <c r="C81" s="0" t="str">
        <f aca="false">"440-451"</f>
        <v>440-451</v>
      </c>
      <c r="D81" s="0" t="s">
        <v>9</v>
      </c>
      <c r="E81" s="0" t="str">
        <f aca="false">"649-660"</f>
        <v>649-660</v>
      </c>
      <c r="F81" s="0" t="s">
        <v>2075</v>
      </c>
      <c r="G81" s="0" t="s">
        <v>1484</v>
      </c>
      <c r="H81" s="0" t="str">
        <f aca="false">"130-141"</f>
        <v>130-141</v>
      </c>
      <c r="I81" s="0" t="s">
        <v>2076</v>
      </c>
      <c r="J81" s="0" t="str">
        <f aca="false">"154-165"</f>
        <v>154-165</v>
      </c>
      <c r="K81" s="0" t="str">
        <f aca="false">"1.12"</f>
        <v>1.12</v>
      </c>
      <c r="L81" s="0" t="str">
        <f aca="false">"10.92"</f>
        <v>10.92</v>
      </c>
      <c r="M81" s="0" t="str">
        <f aca="false">"118.3"</f>
        <v>118.3</v>
      </c>
    </row>
    <row r="82" customFormat="false" ht="12.8" hidden="false" customHeight="false" outlineLevel="0" collapsed="false">
      <c r="A82" s="0" t="s">
        <v>1995</v>
      </c>
      <c r="B82" s="0" t="s">
        <v>9</v>
      </c>
      <c r="C82" s="0" t="str">
        <f aca="false">"442-453"</f>
        <v>442-453</v>
      </c>
      <c r="D82" s="0" t="s">
        <v>9</v>
      </c>
      <c r="E82" s="0" t="str">
        <f aca="false">"654-665"</f>
        <v>654-665</v>
      </c>
      <c r="F82" s="0" t="s">
        <v>2077</v>
      </c>
      <c r="G82" s="0" t="s">
        <v>9</v>
      </c>
      <c r="H82" s="0" t="str">
        <f aca="false">"92-103"</f>
        <v>92-103</v>
      </c>
      <c r="I82" s="0" t="s">
        <v>9</v>
      </c>
      <c r="J82" s="0" t="str">
        <f aca="false">"154-165"</f>
        <v>154-165</v>
      </c>
      <c r="K82" s="0" t="str">
        <f aca="false">"0.52"</f>
        <v>0.52</v>
      </c>
      <c r="L82" s="0" t="str">
        <f aca="false">"9.02"</f>
        <v>9.02</v>
      </c>
      <c r="M82" s="0" t="str">
        <f aca="false">"110.0"</f>
        <v>110.0</v>
      </c>
    </row>
    <row r="83" customFormat="false" ht="12.8" hidden="false" customHeight="false" outlineLevel="0" collapsed="false">
      <c r="A83" s="0" t="s">
        <v>1995</v>
      </c>
      <c r="B83" s="0" t="s">
        <v>9</v>
      </c>
      <c r="C83" s="0" t="str">
        <f aca="false">"442-453"</f>
        <v>442-453</v>
      </c>
      <c r="D83" s="0" t="s">
        <v>9</v>
      </c>
      <c r="E83" s="0" t="str">
        <f aca="false">"656-667"</f>
        <v>656-667</v>
      </c>
      <c r="F83" s="0" t="s">
        <v>2078</v>
      </c>
      <c r="G83" s="0" t="s">
        <v>9</v>
      </c>
      <c r="H83" s="0" t="str">
        <f aca="false">"198-209"</f>
        <v>198-209</v>
      </c>
      <c r="I83" s="0" t="s">
        <v>9</v>
      </c>
      <c r="J83" s="0" t="str">
        <f aca="false">"243-254"</f>
        <v>243-254</v>
      </c>
      <c r="K83" s="0" t="str">
        <f aca="false">"0.84"</f>
        <v>0.84</v>
      </c>
      <c r="L83" s="0" t="str">
        <f aca="false">"9.79"</f>
        <v>9.79</v>
      </c>
      <c r="M83" s="0" t="str">
        <f aca="false">"114.1"</f>
        <v>114.1</v>
      </c>
    </row>
    <row r="84" customFormat="false" ht="12.8" hidden="false" customHeight="false" outlineLevel="0" collapsed="false">
      <c r="A84" s="0" t="s">
        <v>1995</v>
      </c>
      <c r="B84" s="0" t="s">
        <v>9</v>
      </c>
      <c r="C84" s="0" t="str">
        <f aca="false">"444-455"</f>
        <v>444-455</v>
      </c>
      <c r="D84" s="0" t="s">
        <v>9</v>
      </c>
      <c r="E84" s="0" t="str">
        <f aca="false">"653-664"</f>
        <v>653-664</v>
      </c>
      <c r="F84" s="0" t="s">
        <v>2079</v>
      </c>
      <c r="G84" s="0" t="s">
        <v>9</v>
      </c>
      <c r="H84" s="0" t="str">
        <f aca="false">"270-281"</f>
        <v>270-281</v>
      </c>
      <c r="I84" s="0" t="s">
        <v>9</v>
      </c>
      <c r="J84" s="0" t="str">
        <f aca="false">"351-362"</f>
        <v>351-362</v>
      </c>
      <c r="K84" s="0" t="str">
        <f aca="false">"1.01"</f>
        <v>1.01</v>
      </c>
      <c r="L84" s="0" t="str">
        <f aca="false">"9.65"</f>
        <v>9.65</v>
      </c>
      <c r="M84" s="0" t="str">
        <f aca="false">"119.6"</f>
        <v>119.6</v>
      </c>
    </row>
    <row r="85" customFormat="false" ht="12.8" hidden="false" customHeight="false" outlineLevel="0" collapsed="false">
      <c r="A85" s="0" t="s">
        <v>1995</v>
      </c>
      <c r="B85" s="0" t="s">
        <v>9</v>
      </c>
      <c r="C85" s="0" t="str">
        <f aca="false">"439-450"</f>
        <v>439-450</v>
      </c>
      <c r="D85" s="0" t="s">
        <v>9</v>
      </c>
      <c r="E85" s="0" t="str">
        <f aca="false">"655-666"</f>
        <v>655-666</v>
      </c>
      <c r="F85" s="0" t="s">
        <v>2080</v>
      </c>
      <c r="G85" s="0" t="s">
        <v>9</v>
      </c>
      <c r="H85" s="0" t="str">
        <f aca="false">"318-329"</f>
        <v>318-329</v>
      </c>
      <c r="I85" s="0" t="s">
        <v>9</v>
      </c>
      <c r="J85" s="0" t="str">
        <f aca="false">"242-253"</f>
        <v>242-253</v>
      </c>
      <c r="K85" s="0" t="str">
        <f aca="false">"1.19"</f>
        <v>1.19</v>
      </c>
      <c r="L85" s="0" t="str">
        <f aca="false">"10.54"</f>
        <v>10.54</v>
      </c>
      <c r="M85" s="0" t="str">
        <f aca="false">"118.0"</f>
        <v>118.0</v>
      </c>
    </row>
    <row r="86" customFormat="false" ht="12.8" hidden="false" customHeight="false" outlineLevel="0" collapsed="false">
      <c r="A86" s="0" t="s">
        <v>1995</v>
      </c>
      <c r="B86" s="0" t="s">
        <v>9</v>
      </c>
      <c r="C86" s="0" t="str">
        <f aca="false">"445-456"</f>
        <v>445-456</v>
      </c>
      <c r="D86" s="0" t="s">
        <v>9</v>
      </c>
      <c r="E86" s="0" t="str">
        <f aca="false">"651-662"</f>
        <v>651-662</v>
      </c>
      <c r="F86" s="0" t="s">
        <v>2081</v>
      </c>
      <c r="G86" s="0" t="s">
        <v>9</v>
      </c>
      <c r="H86" s="0" t="str">
        <f aca="false">"73-84"</f>
        <v>73-84</v>
      </c>
      <c r="I86" s="0" t="s">
        <v>9</v>
      </c>
      <c r="J86" s="0" t="str">
        <f aca="false">"9-20"</f>
        <v>9-20</v>
      </c>
      <c r="K86" s="0" t="str">
        <f aca="false">"1.24"</f>
        <v>1.24</v>
      </c>
      <c r="L86" s="0" t="str">
        <f aca="false">"8.23"</f>
        <v>8.23</v>
      </c>
      <c r="M86" s="0" t="str">
        <f aca="false">"118.7"</f>
        <v>118.7</v>
      </c>
    </row>
    <row r="87" customFormat="false" ht="12.8" hidden="false" customHeight="false" outlineLevel="0" collapsed="false">
      <c r="A87" s="0" t="s">
        <v>1995</v>
      </c>
      <c r="B87" s="0" t="s">
        <v>9</v>
      </c>
      <c r="C87" s="0" t="str">
        <f aca="false">"439-450"</f>
        <v>439-450</v>
      </c>
      <c r="D87" s="0" t="s">
        <v>9</v>
      </c>
      <c r="E87" s="0" t="str">
        <f aca="false">"654-665"</f>
        <v>654-665</v>
      </c>
      <c r="F87" s="0" t="s">
        <v>2082</v>
      </c>
      <c r="G87" s="0" t="s">
        <v>9</v>
      </c>
      <c r="H87" s="0" t="str">
        <f aca="false">"401-412"</f>
        <v>401-412</v>
      </c>
      <c r="I87" s="0" t="s">
        <v>9</v>
      </c>
      <c r="J87" s="0" t="str">
        <f aca="false">"315-326"</f>
        <v>315-326</v>
      </c>
      <c r="K87" s="0" t="str">
        <f aca="false">"1.24"</f>
        <v>1.24</v>
      </c>
      <c r="L87" s="0" t="str">
        <f aca="false">"10.50"</f>
        <v>10.50</v>
      </c>
      <c r="M87" s="0" t="str">
        <f aca="false">"118.2"</f>
        <v>118.2</v>
      </c>
    </row>
    <row r="88" customFormat="false" ht="12.8" hidden="false" customHeight="false" outlineLevel="0" collapsed="false">
      <c r="A88" s="0" t="s">
        <v>1995</v>
      </c>
      <c r="B88" s="0" t="s">
        <v>9</v>
      </c>
      <c r="C88" s="0" t="str">
        <f aca="false">"445-456"</f>
        <v>445-456</v>
      </c>
      <c r="D88" s="0" t="s">
        <v>9</v>
      </c>
      <c r="E88" s="0" t="str">
        <f aca="false">"653-664"</f>
        <v>653-664</v>
      </c>
      <c r="F88" s="0" t="s">
        <v>2083</v>
      </c>
      <c r="G88" s="0" t="s">
        <v>9</v>
      </c>
      <c r="H88" s="0" t="str">
        <f aca="false">"23-34"</f>
        <v>23-34</v>
      </c>
      <c r="I88" s="0" t="s">
        <v>9</v>
      </c>
      <c r="J88" s="0" t="str">
        <f aca="false">"73-84"</f>
        <v>73-84</v>
      </c>
      <c r="K88" s="0" t="str">
        <f aca="false">"1.10"</f>
        <v>1.10</v>
      </c>
      <c r="L88" s="0" t="str">
        <f aca="false">"9.60"</f>
        <v>9.60</v>
      </c>
      <c r="M88" s="0" t="str">
        <f aca="false">"109.5"</f>
        <v>109.5</v>
      </c>
    </row>
    <row r="89" customFormat="false" ht="12.8" hidden="false" customHeight="false" outlineLevel="0" collapsed="false">
      <c r="A89" s="0" t="s">
        <v>1995</v>
      </c>
      <c r="B89" s="0" t="s">
        <v>9</v>
      </c>
      <c r="C89" s="0" t="str">
        <f aca="false">"445-456"</f>
        <v>445-456</v>
      </c>
      <c r="D89" s="0" t="s">
        <v>9</v>
      </c>
      <c r="E89" s="0" t="str">
        <f aca="false">"650-661"</f>
        <v>650-661</v>
      </c>
      <c r="F89" s="0" t="s">
        <v>2084</v>
      </c>
      <c r="G89" s="0" t="s">
        <v>13</v>
      </c>
      <c r="H89" s="0" t="str">
        <f aca="false">"64-75"</f>
        <v>64-75</v>
      </c>
      <c r="I89" s="0" t="s">
        <v>13</v>
      </c>
      <c r="J89" s="0" t="str">
        <f aca="false">"316-327"</f>
        <v>316-327</v>
      </c>
      <c r="K89" s="0" t="str">
        <f aca="false">"1.15"</f>
        <v>1.15</v>
      </c>
      <c r="L89" s="0" t="str">
        <f aca="false">"10.06"</f>
        <v>10.06</v>
      </c>
      <c r="M89" s="0" t="str">
        <f aca="false">"102.4"</f>
        <v>102.4</v>
      </c>
    </row>
    <row r="90" customFormat="false" ht="12.8" hidden="false" customHeight="false" outlineLevel="0" collapsed="false">
      <c r="A90" s="0" t="s">
        <v>1995</v>
      </c>
      <c r="B90" s="0" t="s">
        <v>9</v>
      </c>
      <c r="C90" s="0" t="str">
        <f aca="false">"442-453"</f>
        <v>442-453</v>
      </c>
      <c r="D90" s="0" t="s">
        <v>9</v>
      </c>
      <c r="E90" s="0" t="str">
        <f aca="false">"650-661"</f>
        <v>650-661</v>
      </c>
      <c r="F90" s="0" t="s">
        <v>2085</v>
      </c>
      <c r="G90" s="0" t="s">
        <v>9</v>
      </c>
      <c r="H90" s="0" t="str">
        <f aca="false">"35-46"</f>
        <v>35-46</v>
      </c>
      <c r="I90" s="0" t="s">
        <v>9</v>
      </c>
      <c r="J90" s="0" t="str">
        <f aca="false">"10-21"</f>
        <v>10-21</v>
      </c>
      <c r="K90" s="0" t="str">
        <f aca="false">"0.81"</f>
        <v>0.81</v>
      </c>
      <c r="L90" s="0" t="str">
        <f aca="false">"10.09"</f>
        <v>10.09</v>
      </c>
      <c r="M90" s="0" t="str">
        <f aca="false">"106.6"</f>
        <v>106.6</v>
      </c>
    </row>
    <row r="91" customFormat="false" ht="12.8" hidden="false" customHeight="false" outlineLevel="0" collapsed="false">
      <c r="A91" s="0" t="s">
        <v>1995</v>
      </c>
      <c r="B91" s="0" t="s">
        <v>9</v>
      </c>
      <c r="C91" s="0" t="str">
        <f aca="false">"441-452"</f>
        <v>441-452</v>
      </c>
      <c r="D91" s="0" t="s">
        <v>9</v>
      </c>
      <c r="E91" s="0" t="str">
        <f aca="false">"653-664"</f>
        <v>653-664</v>
      </c>
      <c r="F91" s="0" t="s">
        <v>2086</v>
      </c>
      <c r="G91" s="0" t="s">
        <v>9</v>
      </c>
      <c r="H91" s="0" t="str">
        <f aca="false">"235-246"</f>
        <v>235-246</v>
      </c>
      <c r="I91" s="0" t="s">
        <v>9</v>
      </c>
      <c r="J91" s="0" t="str">
        <f aca="false">"252-263"</f>
        <v>252-263</v>
      </c>
      <c r="K91" s="0" t="str">
        <f aca="false">"1.10"</f>
        <v>1.10</v>
      </c>
      <c r="L91" s="0" t="str">
        <f aca="false">"10.49"</f>
        <v>10.49</v>
      </c>
      <c r="M91" s="0" t="str">
        <f aca="false">"109.3"</f>
        <v>109.3</v>
      </c>
    </row>
    <row r="92" customFormat="false" ht="12.8" hidden="false" customHeight="false" outlineLevel="0" collapsed="false">
      <c r="A92" s="0" t="s">
        <v>1995</v>
      </c>
      <c r="B92" s="0" t="s">
        <v>9</v>
      </c>
      <c r="C92" s="0" t="str">
        <f aca="false">"444-455"</f>
        <v>444-455</v>
      </c>
      <c r="D92" s="0" t="s">
        <v>9</v>
      </c>
      <c r="E92" s="0" t="str">
        <f aca="false">"653-664"</f>
        <v>653-664</v>
      </c>
      <c r="F92" s="0" t="s">
        <v>2087</v>
      </c>
      <c r="G92" s="0" t="s">
        <v>9</v>
      </c>
      <c r="H92" s="0" t="str">
        <f aca="false">"20-31"</f>
        <v>20-31</v>
      </c>
      <c r="I92" s="0" t="s">
        <v>9</v>
      </c>
      <c r="J92" s="0" t="str">
        <f aca="false">"39-50"</f>
        <v>39-50</v>
      </c>
      <c r="K92" s="0" t="str">
        <f aca="false">"0.94"</f>
        <v>0.94</v>
      </c>
      <c r="L92" s="0" t="str">
        <f aca="false">"9.98"</f>
        <v>9.98</v>
      </c>
      <c r="M92" s="0" t="str">
        <f aca="false">"114.2"</f>
        <v>114.2</v>
      </c>
    </row>
    <row r="93" customFormat="false" ht="12.8" hidden="false" customHeight="false" outlineLevel="0" collapsed="false">
      <c r="A93" s="0" t="s">
        <v>1995</v>
      </c>
      <c r="B93" s="0" t="s">
        <v>9</v>
      </c>
      <c r="C93" s="0" t="str">
        <f aca="false">"445-456"</f>
        <v>445-456</v>
      </c>
      <c r="D93" s="0" t="s">
        <v>9</v>
      </c>
      <c r="E93" s="0" t="str">
        <f aca="false">"648-659"</f>
        <v>648-659</v>
      </c>
      <c r="F93" s="0" t="s">
        <v>2088</v>
      </c>
      <c r="G93" s="0" t="s">
        <v>9</v>
      </c>
      <c r="H93" s="0" t="str">
        <f aca="false">"286-297"</f>
        <v>286-297</v>
      </c>
      <c r="I93" s="0" t="s">
        <v>9</v>
      </c>
      <c r="J93" s="0" t="str">
        <f aca="false">"222-233"</f>
        <v>222-233</v>
      </c>
      <c r="K93" s="0" t="str">
        <f aca="false">"1.04"</f>
        <v>1.04</v>
      </c>
      <c r="L93" s="0" t="str">
        <f aca="false">"11.73"</f>
        <v>11.73</v>
      </c>
      <c r="M93" s="0" t="str">
        <f aca="false">"95.1"</f>
        <v>95.1</v>
      </c>
    </row>
    <row r="94" customFormat="false" ht="12.8" hidden="false" customHeight="false" outlineLevel="0" collapsed="false">
      <c r="A94" s="0" t="s">
        <v>1995</v>
      </c>
      <c r="B94" s="0" t="s">
        <v>9</v>
      </c>
      <c r="C94" s="0" t="str">
        <f aca="false">"442-453"</f>
        <v>442-453</v>
      </c>
      <c r="D94" s="0" t="s">
        <v>9</v>
      </c>
      <c r="E94" s="0" t="str">
        <f aca="false">"657-668"</f>
        <v>657-668</v>
      </c>
      <c r="F94" s="0" t="s">
        <v>2089</v>
      </c>
      <c r="G94" s="0" t="s">
        <v>9</v>
      </c>
      <c r="H94" s="0" t="str">
        <f aca="false">"39-50"</f>
        <v>39-50</v>
      </c>
      <c r="I94" s="0" t="s">
        <v>9</v>
      </c>
      <c r="J94" s="0" t="str">
        <f aca="false">"88-99"</f>
        <v>88-99</v>
      </c>
      <c r="K94" s="0" t="str">
        <f aca="false">"1.12"</f>
        <v>1.12</v>
      </c>
      <c r="L94" s="0" t="str">
        <f aca="false">"10.27"</f>
        <v>10.27</v>
      </c>
      <c r="M94" s="0" t="str">
        <f aca="false">"105.5"</f>
        <v>105.5</v>
      </c>
    </row>
    <row r="95" customFormat="false" ht="12.8" hidden="false" customHeight="false" outlineLevel="0" collapsed="false">
      <c r="A95" s="0" t="s">
        <v>1995</v>
      </c>
      <c r="B95" s="0" t="s">
        <v>9</v>
      </c>
      <c r="C95" s="0" t="str">
        <f aca="false">"441-452"</f>
        <v>441-452</v>
      </c>
      <c r="D95" s="0" t="s">
        <v>9</v>
      </c>
      <c r="E95" s="0" t="str">
        <f aca="false">"657-668"</f>
        <v>657-668</v>
      </c>
      <c r="F95" s="0" t="s">
        <v>2090</v>
      </c>
      <c r="G95" s="0" t="s">
        <v>9</v>
      </c>
      <c r="H95" s="0" t="str">
        <f aca="false">"137-148"</f>
        <v>137-148</v>
      </c>
      <c r="I95" s="0" t="s">
        <v>9</v>
      </c>
      <c r="J95" s="0" t="str">
        <f aca="false">"163-174"</f>
        <v>163-174</v>
      </c>
      <c r="K95" s="0" t="str">
        <f aca="false">"0.91"</f>
        <v>0.91</v>
      </c>
      <c r="L95" s="0" t="str">
        <f aca="false">"10.01"</f>
        <v>10.01</v>
      </c>
      <c r="M95" s="0" t="str">
        <f aca="false">"107.2"</f>
        <v>107.2</v>
      </c>
    </row>
    <row r="96" customFormat="false" ht="12.8" hidden="false" customHeight="false" outlineLevel="0" collapsed="false">
      <c r="A96" s="0" t="s">
        <v>1995</v>
      </c>
      <c r="B96" s="0" t="s">
        <v>9</v>
      </c>
      <c r="C96" s="0" t="str">
        <f aca="false">"443-454"</f>
        <v>443-454</v>
      </c>
      <c r="D96" s="0" t="s">
        <v>9</v>
      </c>
      <c r="E96" s="0" t="str">
        <f aca="false">"657-668"</f>
        <v>657-668</v>
      </c>
      <c r="F96" s="0" t="s">
        <v>2091</v>
      </c>
      <c r="G96" s="0" t="s">
        <v>9</v>
      </c>
      <c r="H96" s="0" t="str">
        <f aca="false">"187-198"</f>
        <v>187-198</v>
      </c>
      <c r="I96" s="0" t="s">
        <v>9</v>
      </c>
      <c r="J96" s="0" t="str">
        <f aca="false">"86-97"</f>
        <v>86-97</v>
      </c>
      <c r="K96" s="0" t="str">
        <f aca="false">"1.15"</f>
        <v>1.15</v>
      </c>
      <c r="L96" s="0" t="str">
        <f aca="false">"10.79"</f>
        <v>10.79</v>
      </c>
      <c r="M96" s="0" t="str">
        <f aca="false">"98.8"</f>
        <v>98.8</v>
      </c>
    </row>
    <row r="97" customFormat="false" ht="12.8" hidden="false" customHeight="false" outlineLevel="0" collapsed="false">
      <c r="A97" s="0" t="s">
        <v>1995</v>
      </c>
      <c r="B97" s="0" t="s">
        <v>9</v>
      </c>
      <c r="C97" s="0" t="str">
        <f aca="false">"441-452"</f>
        <v>441-452</v>
      </c>
      <c r="D97" s="0" t="s">
        <v>9</v>
      </c>
      <c r="E97" s="0" t="str">
        <f aca="false">"649-660"</f>
        <v>649-660</v>
      </c>
      <c r="F97" s="0" t="s">
        <v>2092</v>
      </c>
      <c r="G97" s="0" t="s">
        <v>13</v>
      </c>
      <c r="H97" s="0" t="str">
        <f aca="false">"318-329"</f>
        <v>318-329</v>
      </c>
      <c r="I97" s="0" t="s">
        <v>13</v>
      </c>
      <c r="J97" s="0" t="str">
        <f aca="false">"104-115"</f>
        <v>104-115</v>
      </c>
      <c r="K97" s="0" t="str">
        <f aca="false">"0.60"</f>
        <v>0.60</v>
      </c>
      <c r="L97" s="0" t="str">
        <f aca="false">"11.43"</f>
        <v>11.43</v>
      </c>
      <c r="M97" s="0" t="str">
        <f aca="false">"95.2"</f>
        <v>95.2</v>
      </c>
    </row>
    <row r="98" customFormat="false" ht="12.8" hidden="false" customHeight="false" outlineLevel="0" collapsed="false">
      <c r="A98" s="0" t="s">
        <v>1995</v>
      </c>
      <c r="B98" s="0" t="s">
        <v>9</v>
      </c>
      <c r="C98" s="0" t="str">
        <f aca="false">"436-447"</f>
        <v>436-447</v>
      </c>
      <c r="D98" s="0" t="s">
        <v>9</v>
      </c>
      <c r="E98" s="0" t="str">
        <f aca="false">"656-667"</f>
        <v>656-667</v>
      </c>
      <c r="F98" s="0" t="s">
        <v>2093</v>
      </c>
      <c r="G98" s="0" t="s">
        <v>9</v>
      </c>
      <c r="H98" s="0" t="str">
        <f aca="false">"65-76"</f>
        <v>65-76</v>
      </c>
      <c r="I98" s="0" t="s">
        <v>9</v>
      </c>
      <c r="J98" s="0" t="str">
        <f aca="false">"129-140"</f>
        <v>129-140</v>
      </c>
      <c r="K98" s="0" t="str">
        <f aca="false">"1.11"</f>
        <v>1.11</v>
      </c>
      <c r="L98" s="0" t="str">
        <f aca="false">"14.45"</f>
        <v>14.45</v>
      </c>
      <c r="M98" s="0" t="str">
        <f aca="false">"103.4"</f>
        <v>103.4</v>
      </c>
    </row>
    <row r="99" customFormat="false" ht="12.8" hidden="false" customHeight="false" outlineLevel="0" collapsed="false">
      <c r="A99" s="0" t="s">
        <v>1995</v>
      </c>
      <c r="B99" s="0" t="s">
        <v>9</v>
      </c>
      <c r="C99" s="0" t="str">
        <f aca="false">"436-447"</f>
        <v>436-447</v>
      </c>
      <c r="D99" s="0" t="s">
        <v>9</v>
      </c>
      <c r="E99" s="0" t="str">
        <f aca="false">"656-667"</f>
        <v>656-667</v>
      </c>
      <c r="F99" s="0" t="s">
        <v>2094</v>
      </c>
      <c r="G99" s="0" t="s">
        <v>9</v>
      </c>
      <c r="H99" s="0" t="str">
        <f aca="false">"319-330"</f>
        <v>319-330</v>
      </c>
      <c r="I99" s="0" t="s">
        <v>9</v>
      </c>
      <c r="J99" s="0" t="str">
        <f aca="false">"31-42"</f>
        <v>31-42</v>
      </c>
      <c r="K99" s="0" t="str">
        <f aca="false">"1.20"</f>
        <v>1.20</v>
      </c>
      <c r="L99" s="0" t="str">
        <f aca="false">"15.00"</f>
        <v>15.00</v>
      </c>
      <c r="M99" s="0" t="str">
        <f aca="false">"122.1"</f>
        <v>122.1</v>
      </c>
    </row>
    <row r="100" customFormat="false" ht="12.8" hidden="false" customHeight="false" outlineLevel="0" collapsed="false">
      <c r="A100" s="0" t="s">
        <v>1995</v>
      </c>
      <c r="B100" s="0" t="s">
        <v>9</v>
      </c>
      <c r="C100" s="0" t="str">
        <f aca="false">"437-448"</f>
        <v>437-448</v>
      </c>
      <c r="D100" s="0" t="s">
        <v>9</v>
      </c>
      <c r="E100" s="0" t="str">
        <f aca="false">"649-660"</f>
        <v>649-660</v>
      </c>
      <c r="F100" s="0" t="s">
        <v>2095</v>
      </c>
      <c r="G100" s="0" t="s">
        <v>9</v>
      </c>
      <c r="H100" s="0" t="str">
        <f aca="false">"127-138"</f>
        <v>127-138</v>
      </c>
      <c r="I100" s="0" t="s">
        <v>9</v>
      </c>
      <c r="J100" s="0" t="str">
        <f aca="false">"191-202"</f>
        <v>191-202</v>
      </c>
      <c r="K100" s="0" t="str">
        <f aca="false">"0.97"</f>
        <v>0.97</v>
      </c>
      <c r="L100" s="0" t="str">
        <f aca="false">"15.04"</f>
        <v>15.04</v>
      </c>
      <c r="M100" s="0" t="str">
        <f aca="false">"99.2"</f>
        <v>99.2</v>
      </c>
    </row>
    <row r="101" customFormat="false" ht="12.8" hidden="false" customHeight="false" outlineLevel="0" collapsed="false">
      <c r="A101" s="0" t="s">
        <v>1995</v>
      </c>
      <c r="B101" s="0" t="s">
        <v>9</v>
      </c>
      <c r="C101" s="0" t="str">
        <f aca="false">"437-448"</f>
        <v>437-448</v>
      </c>
      <c r="D101" s="0" t="s">
        <v>9</v>
      </c>
      <c r="E101" s="0" t="str">
        <f aca="false">"649-660"</f>
        <v>649-660</v>
      </c>
      <c r="F101" s="0" t="s">
        <v>2096</v>
      </c>
      <c r="G101" s="0" t="s">
        <v>9</v>
      </c>
      <c r="H101" s="0" t="str">
        <f aca="false">"156-167"</f>
        <v>156-167</v>
      </c>
      <c r="I101" s="0" t="s">
        <v>9</v>
      </c>
      <c r="J101" s="0" t="str">
        <f aca="false">"221-232"</f>
        <v>221-232</v>
      </c>
      <c r="K101" s="0" t="str">
        <f aca="false">"1.06"</f>
        <v>1.06</v>
      </c>
      <c r="L101" s="0" t="str">
        <f aca="false">"14.05"</f>
        <v>14.05</v>
      </c>
      <c r="M101" s="0" t="str">
        <f aca="false">"95.6"</f>
        <v>95.6</v>
      </c>
    </row>
    <row r="102" customFormat="false" ht="12.8" hidden="false" customHeight="false" outlineLevel="0" collapsed="false">
      <c r="A102" s="0" t="s">
        <v>1995</v>
      </c>
      <c r="B102" s="0" t="s">
        <v>9</v>
      </c>
      <c r="C102" s="0" t="str">
        <f aca="false">"440-451"</f>
        <v>440-451</v>
      </c>
      <c r="D102" s="0" t="s">
        <v>9</v>
      </c>
      <c r="E102" s="0" t="str">
        <f aca="false">"652-663"</f>
        <v>652-663</v>
      </c>
      <c r="F102" s="0" t="s">
        <v>2097</v>
      </c>
      <c r="G102" s="0" t="s">
        <v>13</v>
      </c>
      <c r="H102" s="0" t="str">
        <f aca="false">"128-139"</f>
        <v>128-139</v>
      </c>
      <c r="I102" s="0" t="s">
        <v>9</v>
      </c>
      <c r="J102" s="0" t="str">
        <f aca="false">"107-118"</f>
        <v>107-118</v>
      </c>
      <c r="K102" s="0" t="str">
        <f aca="false">"0.86"</f>
        <v>0.86</v>
      </c>
      <c r="L102" s="0" t="str">
        <f aca="false">"10.80"</f>
        <v>10.80</v>
      </c>
      <c r="M102" s="0" t="str">
        <f aca="false">"112.8"</f>
        <v>112.8</v>
      </c>
    </row>
    <row r="103" customFormat="false" ht="12.8" hidden="false" customHeight="false" outlineLevel="0" collapsed="false">
      <c r="A103" s="0" t="s">
        <v>1995</v>
      </c>
      <c r="B103" s="0" t="s">
        <v>9</v>
      </c>
      <c r="C103" s="0" t="str">
        <f aca="false">"445-456"</f>
        <v>445-456</v>
      </c>
      <c r="D103" s="0" t="s">
        <v>9</v>
      </c>
      <c r="E103" s="0" t="str">
        <f aca="false">"656-667"</f>
        <v>656-667</v>
      </c>
      <c r="F103" s="0" t="s">
        <v>2098</v>
      </c>
      <c r="G103" s="0" t="s">
        <v>9</v>
      </c>
      <c r="H103" s="0" t="str">
        <f aca="false">"333-344"</f>
        <v>333-344</v>
      </c>
      <c r="I103" s="0" t="s">
        <v>9</v>
      </c>
      <c r="J103" s="0" t="str">
        <f aca="false">"285-296"</f>
        <v>285-296</v>
      </c>
      <c r="K103" s="0" t="str">
        <f aca="false">"1.01"</f>
        <v>1.01</v>
      </c>
      <c r="L103" s="0" t="str">
        <f aca="false">"10.84"</f>
        <v>10.84</v>
      </c>
      <c r="M103" s="0" t="str">
        <f aca="false">"119.0"</f>
        <v>119.0</v>
      </c>
    </row>
    <row r="104" customFormat="false" ht="12.8" hidden="false" customHeight="false" outlineLevel="0" collapsed="false">
      <c r="A104" s="0" t="s">
        <v>1995</v>
      </c>
      <c r="B104" s="0" t="s">
        <v>9</v>
      </c>
      <c r="C104" s="0" t="str">
        <f aca="false">"442-453"</f>
        <v>442-453</v>
      </c>
      <c r="D104" s="0" t="s">
        <v>9</v>
      </c>
      <c r="E104" s="0" t="str">
        <f aca="false">"656-667"</f>
        <v>656-667</v>
      </c>
      <c r="F104" s="0" t="s">
        <v>2099</v>
      </c>
      <c r="G104" s="0" t="s">
        <v>9</v>
      </c>
      <c r="H104" s="0" t="str">
        <f aca="false">"64-75"</f>
        <v>64-75</v>
      </c>
      <c r="I104" s="0" t="s">
        <v>9</v>
      </c>
      <c r="J104" s="0" t="str">
        <f aca="false">"84-95"</f>
        <v>84-95</v>
      </c>
      <c r="K104" s="0" t="str">
        <f aca="false">"1.08"</f>
        <v>1.08</v>
      </c>
      <c r="L104" s="0" t="str">
        <f aca="false">"9.53"</f>
        <v>9.53</v>
      </c>
      <c r="M104" s="0" t="str">
        <f aca="false">"105.1"</f>
        <v>105.1</v>
      </c>
    </row>
    <row r="105" customFormat="false" ht="12.8" hidden="false" customHeight="false" outlineLevel="0" collapsed="false">
      <c r="A105" s="0" t="s">
        <v>1995</v>
      </c>
      <c r="B105" s="0" t="s">
        <v>9</v>
      </c>
      <c r="C105" s="0" t="str">
        <f aca="false">"440-451"</f>
        <v>440-451</v>
      </c>
      <c r="D105" s="0" t="s">
        <v>9</v>
      </c>
      <c r="E105" s="0" t="str">
        <f aca="false">"652-663"</f>
        <v>652-663</v>
      </c>
      <c r="F105" s="0" t="s">
        <v>2100</v>
      </c>
      <c r="G105" s="0" t="s">
        <v>13</v>
      </c>
      <c r="H105" s="0" t="str">
        <f aca="false">"55-66"</f>
        <v>55-66</v>
      </c>
      <c r="I105" s="0" t="s">
        <v>13</v>
      </c>
      <c r="J105" s="0" t="str">
        <f aca="false">"18-29"</f>
        <v>18-29</v>
      </c>
      <c r="K105" s="0" t="str">
        <f aca="false">"1.18"</f>
        <v>1.18</v>
      </c>
      <c r="L105" s="0" t="str">
        <f aca="false">"11.67"</f>
        <v>11.67</v>
      </c>
      <c r="M105" s="0" t="str">
        <f aca="false">"112.1"</f>
        <v>112.1</v>
      </c>
    </row>
    <row r="106" customFormat="false" ht="12.8" hidden="false" customHeight="false" outlineLevel="0" collapsed="false">
      <c r="A106" s="0" t="s">
        <v>1995</v>
      </c>
      <c r="B106" s="0" t="s">
        <v>9</v>
      </c>
      <c r="C106" s="0" t="str">
        <f aca="false">"441-452"</f>
        <v>441-452</v>
      </c>
      <c r="D106" s="0" t="s">
        <v>9</v>
      </c>
      <c r="E106" s="0" t="str">
        <f aca="false">"647-658"</f>
        <v>647-658</v>
      </c>
      <c r="F106" s="0" t="s">
        <v>2101</v>
      </c>
      <c r="G106" s="0" t="s">
        <v>13</v>
      </c>
      <c r="H106" s="0" t="str">
        <f aca="false">"550-561"</f>
        <v>550-561</v>
      </c>
      <c r="I106" s="0" t="s">
        <v>13</v>
      </c>
      <c r="J106" s="0" t="str">
        <f aca="false">"832-843"</f>
        <v>832-843</v>
      </c>
      <c r="K106" s="0" t="str">
        <f aca="false">"1.07"</f>
        <v>1.07</v>
      </c>
      <c r="L106" s="0" t="str">
        <f aca="false">"13.41"</f>
        <v>13.41</v>
      </c>
      <c r="M106" s="0" t="str">
        <f aca="false">"85.2"</f>
        <v>85.2</v>
      </c>
    </row>
    <row r="107" customFormat="false" ht="12.8" hidden="false" customHeight="false" outlineLevel="0" collapsed="false">
      <c r="A107" s="0" t="s">
        <v>1995</v>
      </c>
      <c r="B107" s="0" t="s">
        <v>9</v>
      </c>
      <c r="C107" s="0" t="str">
        <f aca="false">"438-449"</f>
        <v>438-449</v>
      </c>
      <c r="D107" s="0" t="s">
        <v>9</v>
      </c>
      <c r="E107" s="0" t="str">
        <f aca="false">"648-659"</f>
        <v>648-659</v>
      </c>
      <c r="F107" s="0" t="s">
        <v>2102</v>
      </c>
      <c r="G107" s="0" t="s">
        <v>9</v>
      </c>
      <c r="H107" s="0" t="str">
        <f aca="false">"359-370"</f>
        <v>359-370</v>
      </c>
      <c r="I107" s="0" t="s">
        <v>13</v>
      </c>
      <c r="J107" s="0" t="str">
        <f aca="false">"359-370"</f>
        <v>359-370</v>
      </c>
      <c r="K107" s="0" t="str">
        <f aca="false">"0.93"</f>
        <v>0.93</v>
      </c>
      <c r="L107" s="0" t="str">
        <f aca="false">"15.08"</f>
        <v>15.08</v>
      </c>
      <c r="M107" s="0" t="str">
        <f aca="false">"105.4"</f>
        <v>105.4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4642857142857"/>
    <col collapsed="false" hidden="false" max="2" min="2" style="0" width="6.95408163265306"/>
    <col collapsed="false" hidden="false" max="3" min="3" style="0" width="7.76530612244898"/>
    <col collapsed="false" hidden="false" max="4" min="4" style="0" width="6.95408163265306"/>
    <col collapsed="false" hidden="false" max="5" min="5" style="0" width="7.76530612244898"/>
    <col collapsed="false" hidden="false" max="6" min="6" style="0" width="11.5561224489796"/>
    <col collapsed="false" hidden="false" max="7" min="7" style="0" width="6.95408163265306"/>
    <col collapsed="false" hidden="false" max="8" min="8" style="0" width="7.76530612244898"/>
    <col collapsed="false" hidden="false" max="9" min="9" style="0" width="6.95408163265306"/>
    <col collapsed="false" hidden="false" max="10" min="10" style="0" width="7.76530612244898"/>
    <col collapsed="false" hidden="false" max="11" min="11" style="0" width="6.68877551020408"/>
    <col collapsed="false" hidden="false" max="12" min="12" style="0" width="8.44387755102041"/>
    <col collapsed="false" hidden="false" max="13" min="13" style="0" width="6.01020408163265"/>
    <col collapsed="false" hidden="false" max="1025" min="14" style="0" width="11.61734693877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  <c r="K1" s="0" t="s">
        <v>5</v>
      </c>
      <c r="L1" s="0" t="s">
        <v>6</v>
      </c>
      <c r="M1" s="0" t="s">
        <v>7</v>
      </c>
    </row>
    <row r="2" customFormat="false" ht="12.8" hidden="false" customHeight="false" outlineLevel="0" collapsed="false">
      <c r="A2" s="0" t="s">
        <v>2103</v>
      </c>
      <c r="B2" s="0" t="s">
        <v>9</v>
      </c>
      <c r="C2" s="0" t="str">
        <f aca="false">"359-370"</f>
        <v>359-370</v>
      </c>
      <c r="D2" s="0" t="s">
        <v>9</v>
      </c>
      <c r="E2" s="0" t="str">
        <f aca="false">"523-534"</f>
        <v>523-534</v>
      </c>
      <c r="F2" s="0" t="s">
        <v>2104</v>
      </c>
      <c r="G2" s="0" t="s">
        <v>9</v>
      </c>
      <c r="H2" s="0" t="str">
        <f aca="false">"71-82"</f>
        <v>71-82</v>
      </c>
      <c r="I2" s="0" t="s">
        <v>9</v>
      </c>
      <c r="J2" s="0" t="str">
        <f aca="false">"17-28"</f>
        <v>17-28</v>
      </c>
      <c r="K2" s="0" t="str">
        <f aca="false">"0.80"</f>
        <v>0.80</v>
      </c>
      <c r="L2" s="0" t="str">
        <f aca="false">"9.81"</f>
        <v>9.81</v>
      </c>
      <c r="M2" s="0" t="str">
        <f aca="false">"-36.0"</f>
        <v>-36.0</v>
      </c>
    </row>
    <row r="3" customFormat="false" ht="12.8" hidden="false" customHeight="false" outlineLevel="0" collapsed="false">
      <c r="A3" s="0" t="s">
        <v>2103</v>
      </c>
      <c r="B3" s="0" t="s">
        <v>9</v>
      </c>
      <c r="C3" s="0" t="str">
        <f aca="false">"358-369"</f>
        <v>358-369</v>
      </c>
      <c r="D3" s="0" t="s">
        <v>9</v>
      </c>
      <c r="E3" s="0" t="str">
        <f aca="false">"523-534"</f>
        <v>523-534</v>
      </c>
      <c r="F3" s="0" t="s">
        <v>2105</v>
      </c>
      <c r="G3" s="0" t="s">
        <v>13</v>
      </c>
      <c r="H3" s="0" t="str">
        <f aca="false">"52-63"</f>
        <v>52-63</v>
      </c>
      <c r="I3" s="0" t="s">
        <v>13</v>
      </c>
      <c r="J3" s="0" t="str">
        <f aca="false">"20-31"</f>
        <v>20-31</v>
      </c>
      <c r="K3" s="0" t="str">
        <f aca="false">"0.96"</f>
        <v>0.96</v>
      </c>
      <c r="L3" s="0" t="str">
        <f aca="false">"10.17"</f>
        <v>10.17</v>
      </c>
      <c r="M3" s="0" t="str">
        <f aca="false">"-37.9"</f>
        <v>-37.9</v>
      </c>
    </row>
    <row r="4" customFormat="false" ht="12.8" hidden="false" customHeight="false" outlineLevel="0" collapsed="false">
      <c r="A4" s="0" t="s">
        <v>2103</v>
      </c>
      <c r="B4" s="0" t="s">
        <v>9</v>
      </c>
      <c r="C4" s="0" t="str">
        <f aca="false">"358-369"</f>
        <v>358-369</v>
      </c>
      <c r="D4" s="0" t="s">
        <v>9</v>
      </c>
      <c r="E4" s="0" t="str">
        <f aca="false">"523-534"</f>
        <v>523-534</v>
      </c>
      <c r="F4" s="0" t="s">
        <v>2106</v>
      </c>
      <c r="G4" s="0" t="s">
        <v>9</v>
      </c>
      <c r="H4" s="0" t="str">
        <f aca="false">"123-134"</f>
        <v>123-134</v>
      </c>
      <c r="I4" s="0" t="s">
        <v>9</v>
      </c>
      <c r="J4" s="0" t="str">
        <f aca="false">"374-385"</f>
        <v>374-385</v>
      </c>
      <c r="K4" s="0" t="str">
        <f aca="false">"1.10"</f>
        <v>1.10</v>
      </c>
      <c r="L4" s="0" t="str">
        <f aca="false">"10.13"</f>
        <v>10.13</v>
      </c>
      <c r="M4" s="0" t="str">
        <f aca="false">"-40.5"</f>
        <v>-40.5</v>
      </c>
    </row>
    <row r="5" customFormat="false" ht="12.8" hidden="false" customHeight="false" outlineLevel="0" collapsed="false">
      <c r="A5" s="0" t="s">
        <v>2103</v>
      </c>
      <c r="B5" s="0" t="s">
        <v>9</v>
      </c>
      <c r="C5" s="0" t="str">
        <f aca="false">"358-369"</f>
        <v>358-369</v>
      </c>
      <c r="D5" s="0" t="s">
        <v>9</v>
      </c>
      <c r="E5" s="0" t="str">
        <f aca="false">"523-534"</f>
        <v>523-534</v>
      </c>
      <c r="F5" s="0" t="s">
        <v>2107</v>
      </c>
      <c r="G5" s="0" t="s">
        <v>9</v>
      </c>
      <c r="H5" s="0" t="str">
        <f aca="false">"195-206"</f>
        <v>195-206</v>
      </c>
      <c r="I5" s="0" t="s">
        <v>9</v>
      </c>
      <c r="J5" s="0" t="str">
        <f aca="false">"272-283"</f>
        <v>272-283</v>
      </c>
      <c r="K5" s="0" t="str">
        <f aca="false">"0.75"</f>
        <v>0.75</v>
      </c>
      <c r="L5" s="0" t="str">
        <f aca="false">"10.23"</f>
        <v>10.23</v>
      </c>
      <c r="M5" s="0" t="str">
        <f aca="false">"-31.6"</f>
        <v>-31.6</v>
      </c>
    </row>
    <row r="6" customFormat="false" ht="12.8" hidden="false" customHeight="false" outlineLevel="0" collapsed="false">
      <c r="A6" s="0" t="s">
        <v>2103</v>
      </c>
      <c r="B6" s="0" t="s">
        <v>9</v>
      </c>
      <c r="C6" s="0" t="str">
        <f aca="false">"358-369"</f>
        <v>358-369</v>
      </c>
      <c r="D6" s="0" t="s">
        <v>9</v>
      </c>
      <c r="E6" s="0" t="str">
        <f aca="false">"523-534"</f>
        <v>523-534</v>
      </c>
      <c r="F6" s="0" t="s">
        <v>2108</v>
      </c>
      <c r="G6" s="0" t="s">
        <v>9</v>
      </c>
      <c r="H6" s="0" t="str">
        <f aca="false">"124-135"</f>
        <v>124-135</v>
      </c>
      <c r="I6" s="0" t="s">
        <v>9</v>
      </c>
      <c r="J6" s="0" t="str">
        <f aca="false">"362-373"</f>
        <v>362-373</v>
      </c>
      <c r="K6" s="0" t="str">
        <f aca="false">"0.94"</f>
        <v>0.94</v>
      </c>
      <c r="L6" s="0" t="str">
        <f aca="false">"10.70"</f>
        <v>10.70</v>
      </c>
      <c r="M6" s="0" t="str">
        <f aca="false">"-22.6"</f>
        <v>-22.6</v>
      </c>
    </row>
    <row r="7" customFormat="false" ht="12.8" hidden="false" customHeight="false" outlineLevel="0" collapsed="false">
      <c r="A7" s="0" t="s">
        <v>2103</v>
      </c>
      <c r="B7" s="0" t="s">
        <v>9</v>
      </c>
      <c r="C7" s="0" t="str">
        <f aca="false">"358-369"</f>
        <v>358-369</v>
      </c>
      <c r="D7" s="0" t="s">
        <v>9</v>
      </c>
      <c r="E7" s="0" t="str">
        <f aca="false">"522-533"</f>
        <v>522-533</v>
      </c>
      <c r="F7" s="0" t="s">
        <v>2109</v>
      </c>
      <c r="G7" s="0" t="s">
        <v>9</v>
      </c>
      <c r="H7" s="0" t="str">
        <f aca="false">"397-408"</f>
        <v>397-408</v>
      </c>
      <c r="I7" s="0" t="s">
        <v>9</v>
      </c>
      <c r="J7" s="0" t="str">
        <f aca="false">"365-376"</f>
        <v>365-376</v>
      </c>
      <c r="K7" s="0" t="str">
        <f aca="false">"1.02"</f>
        <v>1.02</v>
      </c>
      <c r="L7" s="0" t="str">
        <f aca="false">"10.03"</f>
        <v>10.03</v>
      </c>
      <c r="M7" s="0" t="str">
        <f aca="false">"-41.6"</f>
        <v>-41.6</v>
      </c>
    </row>
    <row r="8" customFormat="false" ht="12.8" hidden="false" customHeight="false" outlineLevel="0" collapsed="false">
      <c r="A8" s="0" t="s">
        <v>2103</v>
      </c>
      <c r="B8" s="0" t="s">
        <v>9</v>
      </c>
      <c r="C8" s="0" t="str">
        <f aca="false">"358-369"</f>
        <v>358-369</v>
      </c>
      <c r="D8" s="0" t="s">
        <v>9</v>
      </c>
      <c r="E8" s="0" t="str">
        <f aca="false">"523-534"</f>
        <v>523-534</v>
      </c>
      <c r="F8" s="0" t="s">
        <v>1548</v>
      </c>
      <c r="G8" s="0" t="s">
        <v>9</v>
      </c>
      <c r="H8" s="0" t="str">
        <f aca="false">"121-132"</f>
        <v>121-132</v>
      </c>
      <c r="I8" s="0" t="s">
        <v>9</v>
      </c>
      <c r="J8" s="0" t="str">
        <f aca="false">"362-373"</f>
        <v>362-373</v>
      </c>
      <c r="K8" s="0" t="str">
        <f aca="false">"0.89"</f>
        <v>0.89</v>
      </c>
      <c r="L8" s="0" t="str">
        <f aca="false">"10.54"</f>
        <v>10.54</v>
      </c>
      <c r="M8" s="0" t="str">
        <f aca="false">"-36.1"</f>
        <v>-36.1</v>
      </c>
    </row>
    <row r="9" customFormat="false" ht="12.8" hidden="false" customHeight="false" outlineLevel="0" collapsed="false">
      <c r="A9" s="0" t="s">
        <v>2103</v>
      </c>
      <c r="B9" s="0" t="s">
        <v>9</v>
      </c>
      <c r="C9" s="0" t="str">
        <f aca="false">"358-369"</f>
        <v>358-369</v>
      </c>
      <c r="D9" s="0" t="s">
        <v>9</v>
      </c>
      <c r="E9" s="0" t="str">
        <f aca="false">"523-534"</f>
        <v>523-534</v>
      </c>
      <c r="F9" s="0" t="s">
        <v>2110</v>
      </c>
      <c r="G9" s="0" t="s">
        <v>9</v>
      </c>
      <c r="H9" s="0" t="str">
        <f aca="false">"116-127"</f>
        <v>116-127</v>
      </c>
      <c r="I9" s="0" t="s">
        <v>9</v>
      </c>
      <c r="J9" s="0" t="str">
        <f aca="false">"409-420"</f>
        <v>409-420</v>
      </c>
      <c r="K9" s="0" t="str">
        <f aca="false">"1.09"</f>
        <v>1.09</v>
      </c>
      <c r="L9" s="0" t="str">
        <f aca="false">"10.59"</f>
        <v>10.59</v>
      </c>
      <c r="M9" s="0" t="str">
        <f aca="false">"-36.6"</f>
        <v>-36.6</v>
      </c>
    </row>
    <row r="10" customFormat="false" ht="12.8" hidden="false" customHeight="false" outlineLevel="0" collapsed="false">
      <c r="A10" s="0" t="s">
        <v>2103</v>
      </c>
      <c r="B10" s="0" t="s">
        <v>9</v>
      </c>
      <c r="C10" s="0" t="str">
        <f aca="false">"358-369"</f>
        <v>358-369</v>
      </c>
      <c r="D10" s="0" t="s">
        <v>9</v>
      </c>
      <c r="E10" s="0" t="str">
        <f aca="false">"523-534"</f>
        <v>523-534</v>
      </c>
      <c r="F10" s="0" t="s">
        <v>1557</v>
      </c>
      <c r="G10" s="0" t="s">
        <v>9</v>
      </c>
      <c r="H10" s="0" t="str">
        <f aca="false">"480-491"</f>
        <v>480-491</v>
      </c>
      <c r="I10" s="0" t="s">
        <v>9</v>
      </c>
      <c r="J10" s="0" t="str">
        <f aca="false">"387-398"</f>
        <v>387-398</v>
      </c>
      <c r="K10" s="0" t="str">
        <f aca="false">"1.10"</f>
        <v>1.10</v>
      </c>
      <c r="L10" s="0" t="str">
        <f aca="false">"10.53"</f>
        <v>10.53</v>
      </c>
      <c r="M10" s="0" t="str">
        <f aca="false">"-37.5"</f>
        <v>-37.5</v>
      </c>
    </row>
    <row r="11" customFormat="false" ht="12.8" hidden="false" customHeight="false" outlineLevel="0" collapsed="false">
      <c r="A11" s="0" t="s">
        <v>2103</v>
      </c>
      <c r="B11" s="0" t="s">
        <v>9</v>
      </c>
      <c r="C11" s="0" t="str">
        <f aca="false">"354-365"</f>
        <v>354-365</v>
      </c>
      <c r="D11" s="0" t="s">
        <v>9</v>
      </c>
      <c r="E11" s="0" t="str">
        <f aca="false">"521-532"</f>
        <v>521-532</v>
      </c>
      <c r="F11" s="0" t="s">
        <v>2111</v>
      </c>
      <c r="G11" s="0" t="s">
        <v>9</v>
      </c>
      <c r="H11" s="0" t="str">
        <f aca="false">"129-140"</f>
        <v>129-140</v>
      </c>
      <c r="I11" s="0" t="s">
        <v>9</v>
      </c>
      <c r="J11" s="0" t="str">
        <f aca="false">"58-69"</f>
        <v>58-69</v>
      </c>
      <c r="K11" s="0" t="str">
        <f aca="false">"1.21"</f>
        <v>1.21</v>
      </c>
      <c r="L11" s="0" t="str">
        <f aca="false">"10.60"</f>
        <v>10.60</v>
      </c>
      <c r="M11" s="0" t="str">
        <f aca="false">"-29.5"</f>
        <v>-29.5</v>
      </c>
    </row>
    <row r="12" customFormat="false" ht="12.8" hidden="false" customHeight="false" outlineLevel="0" collapsed="false">
      <c r="A12" s="0" t="s">
        <v>2103</v>
      </c>
      <c r="B12" s="0" t="s">
        <v>9</v>
      </c>
      <c r="C12" s="0" t="str">
        <f aca="false">"358-369"</f>
        <v>358-369</v>
      </c>
      <c r="D12" s="0" t="s">
        <v>9</v>
      </c>
      <c r="E12" s="0" t="str">
        <f aca="false">"523-534"</f>
        <v>523-534</v>
      </c>
      <c r="F12" s="0" t="s">
        <v>2112</v>
      </c>
      <c r="G12" s="0" t="s">
        <v>24</v>
      </c>
      <c r="H12" s="0" t="str">
        <f aca="false">"141-152"</f>
        <v>141-152</v>
      </c>
      <c r="I12" s="0" t="s">
        <v>24</v>
      </c>
      <c r="J12" s="0" t="str">
        <f aca="false">"13-24"</f>
        <v>13-24</v>
      </c>
      <c r="K12" s="0" t="str">
        <f aca="false">"1.23"</f>
        <v>1.23</v>
      </c>
      <c r="L12" s="0" t="str">
        <f aca="false">"9.60"</f>
        <v>9.60</v>
      </c>
      <c r="M12" s="0" t="str">
        <f aca="false">"-27.4"</f>
        <v>-27.4</v>
      </c>
    </row>
    <row r="13" customFormat="false" ht="12.8" hidden="false" customHeight="false" outlineLevel="0" collapsed="false">
      <c r="A13" s="0" t="s">
        <v>2103</v>
      </c>
      <c r="B13" s="0" t="s">
        <v>9</v>
      </c>
      <c r="C13" s="0" t="str">
        <f aca="false">"354-365"</f>
        <v>354-365</v>
      </c>
      <c r="D13" s="0" t="s">
        <v>9</v>
      </c>
      <c r="E13" s="0" t="str">
        <f aca="false">"521-532"</f>
        <v>521-532</v>
      </c>
      <c r="F13" s="0" t="s">
        <v>2113</v>
      </c>
      <c r="G13" s="0" t="s">
        <v>13</v>
      </c>
      <c r="H13" s="0" t="str">
        <f aca="false">"54-65"</f>
        <v>54-65</v>
      </c>
      <c r="I13" s="0" t="s">
        <v>13</v>
      </c>
      <c r="J13" s="0" t="str">
        <f aca="false">"120-131"</f>
        <v>120-131</v>
      </c>
      <c r="K13" s="0" t="str">
        <f aca="false">"1.03"</f>
        <v>1.03</v>
      </c>
      <c r="L13" s="0" t="str">
        <f aca="false">"11.32"</f>
        <v>11.32</v>
      </c>
      <c r="M13" s="0" t="str">
        <f aca="false">"-13.8"</f>
        <v>-13.8</v>
      </c>
    </row>
    <row r="14" customFormat="false" ht="12.8" hidden="false" customHeight="false" outlineLevel="0" collapsed="false">
      <c r="A14" s="0" t="s">
        <v>2103</v>
      </c>
      <c r="B14" s="0" t="s">
        <v>9</v>
      </c>
      <c r="C14" s="0" t="str">
        <f aca="false">"354-365"</f>
        <v>354-365</v>
      </c>
      <c r="D14" s="0" t="s">
        <v>9</v>
      </c>
      <c r="E14" s="0" t="str">
        <f aca="false">"519-530"</f>
        <v>519-530</v>
      </c>
      <c r="F14" s="0" t="s">
        <v>2114</v>
      </c>
      <c r="G14" s="0" t="s">
        <v>9</v>
      </c>
      <c r="H14" s="0" t="str">
        <f aca="false">"177-188"</f>
        <v>177-188</v>
      </c>
      <c r="I14" s="0" t="s">
        <v>13</v>
      </c>
      <c r="J14" s="0" t="str">
        <f aca="false">"195-206"</f>
        <v>195-206</v>
      </c>
      <c r="K14" s="0" t="str">
        <f aca="false">"1.02"</f>
        <v>1.02</v>
      </c>
      <c r="L14" s="0" t="str">
        <f aca="false">"9.47"</f>
        <v>9.47</v>
      </c>
      <c r="M14" s="0" t="str">
        <f aca="false">"-21.4"</f>
        <v>-21.4</v>
      </c>
    </row>
    <row r="15" customFormat="false" ht="12.8" hidden="false" customHeight="false" outlineLevel="0" collapsed="false">
      <c r="A15" s="0" t="s">
        <v>2103</v>
      </c>
      <c r="B15" s="0" t="s">
        <v>9</v>
      </c>
      <c r="C15" s="0" t="str">
        <f aca="false">"354-365"</f>
        <v>354-365</v>
      </c>
      <c r="D15" s="0" t="s">
        <v>9</v>
      </c>
      <c r="E15" s="0" t="str">
        <f aca="false">"519-530"</f>
        <v>519-530</v>
      </c>
      <c r="F15" s="0" t="s">
        <v>2115</v>
      </c>
      <c r="G15" s="0" t="s">
        <v>9</v>
      </c>
      <c r="H15" s="0" t="str">
        <f aca="false">"598-609"</f>
        <v>598-609</v>
      </c>
      <c r="I15" s="0" t="s">
        <v>9</v>
      </c>
      <c r="J15" s="0" t="str">
        <f aca="false">"636-647"</f>
        <v>636-647</v>
      </c>
      <c r="K15" s="0" t="str">
        <f aca="false">"0.76"</f>
        <v>0.76</v>
      </c>
      <c r="L15" s="0" t="str">
        <f aca="false">"10.28"</f>
        <v>10.28</v>
      </c>
      <c r="M15" s="0" t="str">
        <f aca="false">"-18.2"</f>
        <v>-18.2</v>
      </c>
    </row>
    <row r="16" customFormat="false" ht="12.8" hidden="false" customHeight="false" outlineLevel="0" collapsed="false">
      <c r="A16" s="0" t="s">
        <v>2103</v>
      </c>
      <c r="B16" s="0" t="s">
        <v>9</v>
      </c>
      <c r="C16" s="0" t="str">
        <f aca="false">"350-361"</f>
        <v>350-361</v>
      </c>
      <c r="D16" s="0" t="s">
        <v>9</v>
      </c>
      <c r="E16" s="0" t="str">
        <f aca="false">"515-526"</f>
        <v>515-526</v>
      </c>
      <c r="F16" s="0" t="s">
        <v>2116</v>
      </c>
      <c r="G16" s="0" t="s">
        <v>9</v>
      </c>
      <c r="H16" s="0" t="str">
        <f aca="false">"97-108"</f>
        <v>97-108</v>
      </c>
      <c r="I16" s="0" t="s">
        <v>13</v>
      </c>
      <c r="J16" s="0" t="str">
        <f aca="false">"97-108"</f>
        <v>97-108</v>
      </c>
      <c r="K16" s="0" t="str">
        <f aca="false">"0.92"</f>
        <v>0.92</v>
      </c>
      <c r="L16" s="0" t="str">
        <f aca="false">"10.18"</f>
        <v>10.18</v>
      </c>
      <c r="M16" s="0" t="str">
        <f aca="false">"-20.2"</f>
        <v>-20.2</v>
      </c>
    </row>
    <row r="17" customFormat="false" ht="12.8" hidden="false" customHeight="false" outlineLevel="0" collapsed="false">
      <c r="A17" s="0" t="s">
        <v>2103</v>
      </c>
      <c r="B17" s="0" t="s">
        <v>9</v>
      </c>
      <c r="C17" s="0" t="str">
        <f aca="false">"358-369"</f>
        <v>358-369</v>
      </c>
      <c r="D17" s="0" t="s">
        <v>9</v>
      </c>
      <c r="E17" s="0" t="str">
        <f aca="false">"523-534"</f>
        <v>523-534</v>
      </c>
      <c r="F17" s="0" t="s">
        <v>2117</v>
      </c>
      <c r="G17" s="0" t="s">
        <v>9</v>
      </c>
      <c r="H17" s="0" t="str">
        <f aca="false">"116-127"</f>
        <v>116-127</v>
      </c>
      <c r="I17" s="0" t="s">
        <v>9</v>
      </c>
      <c r="J17" s="0" t="str">
        <f aca="false">"162-173"</f>
        <v>162-173</v>
      </c>
      <c r="K17" s="0" t="str">
        <f aca="false">"1.07"</f>
        <v>1.07</v>
      </c>
      <c r="L17" s="0" t="str">
        <f aca="false">"10.98"</f>
        <v>10.98</v>
      </c>
      <c r="M17" s="0" t="str">
        <f aca="false">"-26.7"</f>
        <v>-26.7</v>
      </c>
    </row>
    <row r="18" customFormat="false" ht="12.8" hidden="false" customHeight="false" outlineLevel="0" collapsed="false">
      <c r="A18" s="0" t="s">
        <v>2103</v>
      </c>
      <c r="B18" s="0" t="s">
        <v>9</v>
      </c>
      <c r="C18" s="0" t="str">
        <f aca="false">"354-365"</f>
        <v>354-365</v>
      </c>
      <c r="D18" s="0" t="s">
        <v>9</v>
      </c>
      <c r="E18" s="0" t="str">
        <f aca="false">"519-530"</f>
        <v>519-530</v>
      </c>
      <c r="F18" s="0" t="s">
        <v>2118</v>
      </c>
      <c r="G18" s="0" t="s">
        <v>9</v>
      </c>
      <c r="H18" s="0" t="str">
        <f aca="false">"359-370"</f>
        <v>359-370</v>
      </c>
      <c r="I18" s="0" t="s">
        <v>9</v>
      </c>
      <c r="J18" s="0" t="str">
        <f aca="false">"257-268"</f>
        <v>257-268</v>
      </c>
      <c r="K18" s="0" t="str">
        <f aca="false">"1.14"</f>
        <v>1.14</v>
      </c>
      <c r="L18" s="0" t="str">
        <f aca="false">"11.07"</f>
        <v>11.07</v>
      </c>
      <c r="M18" s="0" t="str">
        <f aca="false">"-32.9"</f>
        <v>-32.9</v>
      </c>
    </row>
    <row r="19" customFormat="false" ht="12.8" hidden="false" customHeight="false" outlineLevel="0" collapsed="false">
      <c r="A19" s="0" t="s">
        <v>2103</v>
      </c>
      <c r="B19" s="0" t="s">
        <v>9</v>
      </c>
      <c r="C19" s="0" t="str">
        <f aca="false">"354-365"</f>
        <v>354-365</v>
      </c>
      <c r="D19" s="0" t="s">
        <v>9</v>
      </c>
      <c r="E19" s="0" t="str">
        <f aca="false">"519-530"</f>
        <v>519-530</v>
      </c>
      <c r="F19" s="0" t="s">
        <v>2119</v>
      </c>
      <c r="G19" s="0" t="s">
        <v>9</v>
      </c>
      <c r="H19" s="0" t="str">
        <f aca="false">"152-163"</f>
        <v>152-163</v>
      </c>
      <c r="I19" s="0" t="s">
        <v>13</v>
      </c>
      <c r="J19" s="0" t="str">
        <f aca="false">"152-163"</f>
        <v>152-163</v>
      </c>
      <c r="K19" s="0" t="str">
        <f aca="false">"1.04"</f>
        <v>1.04</v>
      </c>
      <c r="L19" s="0" t="str">
        <f aca="false">"10.95"</f>
        <v>10.95</v>
      </c>
      <c r="M19" s="0" t="str">
        <f aca="false">"-20.0"</f>
        <v>-20.0</v>
      </c>
    </row>
    <row r="20" customFormat="false" ht="12.8" hidden="false" customHeight="false" outlineLevel="0" collapsed="false">
      <c r="A20" s="0" t="s">
        <v>2103</v>
      </c>
      <c r="B20" s="0" t="s">
        <v>9</v>
      </c>
      <c r="C20" s="0" t="str">
        <f aca="false">"355-366"</f>
        <v>355-366</v>
      </c>
      <c r="D20" s="0" t="s">
        <v>9</v>
      </c>
      <c r="E20" s="0" t="str">
        <f aca="false">"519-530"</f>
        <v>519-530</v>
      </c>
      <c r="F20" s="0" t="s">
        <v>2120</v>
      </c>
      <c r="G20" s="0" t="s">
        <v>9</v>
      </c>
      <c r="H20" s="0" t="str">
        <f aca="false">"367-378"</f>
        <v>367-378</v>
      </c>
      <c r="I20" s="0" t="s">
        <v>9</v>
      </c>
      <c r="J20" s="0" t="str">
        <f aca="false">"228-239"</f>
        <v>228-239</v>
      </c>
      <c r="K20" s="0" t="str">
        <f aca="false">"0.97"</f>
        <v>0.97</v>
      </c>
      <c r="L20" s="0" t="str">
        <f aca="false">"11.04"</f>
        <v>11.04</v>
      </c>
      <c r="M20" s="0" t="str">
        <f aca="false">"-32.1"</f>
        <v>-32.1</v>
      </c>
    </row>
    <row r="21" customFormat="false" ht="12.8" hidden="false" customHeight="false" outlineLevel="0" collapsed="false">
      <c r="A21" s="0" t="s">
        <v>2103</v>
      </c>
      <c r="B21" s="0" t="s">
        <v>9</v>
      </c>
      <c r="C21" s="0" t="str">
        <f aca="false">"350-361"</f>
        <v>350-361</v>
      </c>
      <c r="D21" s="0" t="s">
        <v>9</v>
      </c>
      <c r="E21" s="0" t="str">
        <f aca="false">"515-526"</f>
        <v>515-526</v>
      </c>
      <c r="F21" s="0" t="s">
        <v>2121</v>
      </c>
      <c r="G21" s="0" t="s">
        <v>9</v>
      </c>
      <c r="H21" s="0" t="str">
        <f aca="false">"324-335"</f>
        <v>324-335</v>
      </c>
      <c r="I21" s="0" t="s">
        <v>9</v>
      </c>
      <c r="J21" s="0" t="str">
        <f aca="false">"380-391"</f>
        <v>380-391</v>
      </c>
      <c r="K21" s="0" t="str">
        <f aca="false">"0.85"</f>
        <v>0.85</v>
      </c>
      <c r="L21" s="0" t="str">
        <f aca="false">"10.21"</f>
        <v>10.21</v>
      </c>
      <c r="M21" s="0" t="str">
        <f aca="false">"-24.4"</f>
        <v>-24.4</v>
      </c>
    </row>
    <row r="22" customFormat="false" ht="12.8" hidden="false" customHeight="false" outlineLevel="0" collapsed="false">
      <c r="A22" s="0" t="s">
        <v>2103</v>
      </c>
      <c r="B22" s="0" t="s">
        <v>9</v>
      </c>
      <c r="C22" s="0" t="str">
        <f aca="false">"354-365"</f>
        <v>354-365</v>
      </c>
      <c r="D22" s="0" t="s">
        <v>9</v>
      </c>
      <c r="E22" s="0" t="str">
        <f aca="false">"519-530"</f>
        <v>519-530</v>
      </c>
      <c r="F22" s="0" t="s">
        <v>2122</v>
      </c>
      <c r="G22" s="0" t="s">
        <v>9</v>
      </c>
      <c r="H22" s="0" t="str">
        <f aca="false">"179-190"</f>
        <v>179-190</v>
      </c>
      <c r="I22" s="0" t="s">
        <v>9</v>
      </c>
      <c r="J22" s="0" t="str">
        <f aca="false">"253-264"</f>
        <v>253-264</v>
      </c>
      <c r="K22" s="0" t="str">
        <f aca="false">"0.83"</f>
        <v>0.83</v>
      </c>
      <c r="L22" s="0" t="str">
        <f aca="false">"10.97"</f>
        <v>10.97</v>
      </c>
      <c r="M22" s="0" t="str">
        <f aca="false">"-26.6"</f>
        <v>-26.6</v>
      </c>
    </row>
    <row r="23" customFormat="false" ht="12.8" hidden="false" customHeight="false" outlineLevel="0" collapsed="false">
      <c r="A23" s="0" t="s">
        <v>2103</v>
      </c>
      <c r="B23" s="0" t="s">
        <v>9</v>
      </c>
      <c r="C23" s="0" t="str">
        <f aca="false">"357-368"</f>
        <v>357-368</v>
      </c>
      <c r="D23" s="0" t="s">
        <v>9</v>
      </c>
      <c r="E23" s="0" t="str">
        <f aca="false">"520-531"</f>
        <v>520-531</v>
      </c>
      <c r="F23" s="0" t="s">
        <v>2123</v>
      </c>
      <c r="G23" s="0" t="s">
        <v>9</v>
      </c>
      <c r="H23" s="0" t="str">
        <f aca="false">"637-648"</f>
        <v>637-648</v>
      </c>
      <c r="I23" s="0" t="s">
        <v>9</v>
      </c>
      <c r="J23" s="0" t="str">
        <f aca="false">"544-555"</f>
        <v>544-555</v>
      </c>
      <c r="K23" s="0" t="str">
        <f aca="false">"0.78"</f>
        <v>0.78</v>
      </c>
      <c r="L23" s="0" t="str">
        <f aca="false">"10.44"</f>
        <v>10.44</v>
      </c>
      <c r="M23" s="0" t="str">
        <f aca="false">"-12.4"</f>
        <v>-12.4</v>
      </c>
    </row>
    <row r="24" customFormat="false" ht="12.8" hidden="false" customHeight="false" outlineLevel="0" collapsed="false">
      <c r="A24" s="0" t="s">
        <v>2103</v>
      </c>
      <c r="B24" s="0" t="s">
        <v>9</v>
      </c>
      <c r="C24" s="0" t="str">
        <f aca="false">"354-365"</f>
        <v>354-365</v>
      </c>
      <c r="D24" s="0" t="s">
        <v>9</v>
      </c>
      <c r="E24" s="0" t="str">
        <f aca="false">"519-530"</f>
        <v>519-530</v>
      </c>
      <c r="F24" s="0" t="s">
        <v>2124</v>
      </c>
      <c r="G24" s="0" t="s">
        <v>13</v>
      </c>
      <c r="H24" s="0" t="str">
        <f aca="false">"102-113"</f>
        <v>102-113</v>
      </c>
      <c r="I24" s="0" t="s">
        <v>13</v>
      </c>
      <c r="J24" s="0" t="str">
        <f aca="false">"159-170"</f>
        <v>159-170</v>
      </c>
      <c r="K24" s="0" t="str">
        <f aca="false">"0.87"</f>
        <v>0.87</v>
      </c>
      <c r="L24" s="0" t="str">
        <f aca="false">"10.31"</f>
        <v>10.31</v>
      </c>
      <c r="M24" s="0" t="str">
        <f aca="false">"-15.6"</f>
        <v>-15.6</v>
      </c>
    </row>
    <row r="25" customFormat="false" ht="12.8" hidden="false" customHeight="false" outlineLevel="0" collapsed="false">
      <c r="A25" s="0" t="s">
        <v>2103</v>
      </c>
      <c r="B25" s="0" t="s">
        <v>9</v>
      </c>
      <c r="C25" s="0" t="str">
        <f aca="false">"354-365"</f>
        <v>354-365</v>
      </c>
      <c r="D25" s="0" t="s">
        <v>9</v>
      </c>
      <c r="E25" s="0" t="str">
        <f aca="false">"519-530"</f>
        <v>519-530</v>
      </c>
      <c r="F25" s="0" t="s">
        <v>2125</v>
      </c>
      <c r="G25" s="0" t="s">
        <v>9</v>
      </c>
      <c r="H25" s="0" t="str">
        <f aca="false">"142-153"</f>
        <v>142-153</v>
      </c>
      <c r="I25" s="0" t="s">
        <v>9</v>
      </c>
      <c r="J25" s="0" t="str">
        <f aca="false">"195-206"</f>
        <v>195-206</v>
      </c>
      <c r="K25" s="0" t="str">
        <f aca="false">"1.08"</f>
        <v>1.08</v>
      </c>
      <c r="L25" s="0" t="str">
        <f aca="false">"10.97"</f>
        <v>10.97</v>
      </c>
      <c r="M25" s="0" t="str">
        <f aca="false">"-32.9"</f>
        <v>-32.9</v>
      </c>
    </row>
    <row r="26" customFormat="false" ht="12.8" hidden="false" customHeight="false" outlineLevel="0" collapsed="false">
      <c r="A26" s="0" t="s">
        <v>2103</v>
      </c>
      <c r="B26" s="0" t="s">
        <v>9</v>
      </c>
      <c r="C26" s="0" t="str">
        <f aca="false">"355-366"</f>
        <v>355-366</v>
      </c>
      <c r="D26" s="0" t="s">
        <v>9</v>
      </c>
      <c r="E26" s="0" t="str">
        <f aca="false">"519-530"</f>
        <v>519-530</v>
      </c>
      <c r="F26" s="0" t="s">
        <v>2126</v>
      </c>
      <c r="G26" s="0" t="s">
        <v>9</v>
      </c>
      <c r="H26" s="0" t="str">
        <f aca="false">"116-127"</f>
        <v>116-127</v>
      </c>
      <c r="I26" s="0" t="s">
        <v>9</v>
      </c>
      <c r="J26" s="0" t="str">
        <f aca="false">"76-87"</f>
        <v>76-87</v>
      </c>
      <c r="K26" s="0" t="str">
        <f aca="false">"0.99"</f>
        <v>0.99</v>
      </c>
      <c r="L26" s="0" t="str">
        <f aca="false">"10.20"</f>
        <v>10.20</v>
      </c>
      <c r="M26" s="0" t="str">
        <f aca="false">"-38.4"</f>
        <v>-38.4</v>
      </c>
    </row>
    <row r="27" customFormat="false" ht="12.8" hidden="false" customHeight="false" outlineLevel="0" collapsed="false">
      <c r="A27" s="0" t="s">
        <v>2103</v>
      </c>
      <c r="B27" s="0" t="s">
        <v>9</v>
      </c>
      <c r="C27" s="0" t="str">
        <f aca="false">"355-366"</f>
        <v>355-366</v>
      </c>
      <c r="D27" s="0" t="s">
        <v>9</v>
      </c>
      <c r="E27" s="0" t="str">
        <f aca="false">"519-530"</f>
        <v>519-530</v>
      </c>
      <c r="F27" s="0" t="s">
        <v>2127</v>
      </c>
      <c r="G27" s="0" t="s">
        <v>9</v>
      </c>
      <c r="H27" s="0" t="str">
        <f aca="false">"82-93"</f>
        <v>82-93</v>
      </c>
      <c r="I27" s="0" t="s">
        <v>9</v>
      </c>
      <c r="J27" s="0" t="str">
        <f aca="false">"123-134"</f>
        <v>123-134</v>
      </c>
      <c r="K27" s="0" t="str">
        <f aca="false">"0.93"</f>
        <v>0.93</v>
      </c>
      <c r="L27" s="0" t="str">
        <f aca="false">"11.09"</f>
        <v>11.09</v>
      </c>
      <c r="M27" s="0" t="str">
        <f aca="false">"-18.2"</f>
        <v>-18.2</v>
      </c>
    </row>
    <row r="28" customFormat="false" ht="12.8" hidden="false" customHeight="false" outlineLevel="0" collapsed="false">
      <c r="A28" s="0" t="s">
        <v>2103</v>
      </c>
      <c r="B28" s="0" t="s">
        <v>9</v>
      </c>
      <c r="C28" s="0" t="str">
        <f aca="false">"356-367"</f>
        <v>356-367</v>
      </c>
      <c r="D28" s="0" t="s">
        <v>9</v>
      </c>
      <c r="E28" s="0" t="str">
        <f aca="false">"519-530"</f>
        <v>519-530</v>
      </c>
      <c r="F28" s="0" t="s">
        <v>2128</v>
      </c>
      <c r="G28" s="0" t="s">
        <v>9</v>
      </c>
      <c r="H28" s="0" t="str">
        <f aca="false">"577-588"</f>
        <v>577-588</v>
      </c>
      <c r="I28" s="0" t="s">
        <v>9</v>
      </c>
      <c r="J28" s="0" t="str">
        <f aca="false">"544-555"</f>
        <v>544-555</v>
      </c>
      <c r="K28" s="0" t="str">
        <f aca="false">"0.96"</f>
        <v>0.96</v>
      </c>
      <c r="L28" s="0" t="str">
        <f aca="false">"10.23"</f>
        <v>10.23</v>
      </c>
      <c r="M28" s="0" t="str">
        <f aca="false">"-18.1"</f>
        <v>-18.1</v>
      </c>
    </row>
    <row r="29" customFormat="false" ht="12.8" hidden="false" customHeight="false" outlineLevel="0" collapsed="false">
      <c r="A29" s="0" t="s">
        <v>2103</v>
      </c>
      <c r="B29" s="0" t="s">
        <v>9</v>
      </c>
      <c r="C29" s="0" t="str">
        <f aca="false">"355-366"</f>
        <v>355-366</v>
      </c>
      <c r="D29" s="0" t="s">
        <v>9</v>
      </c>
      <c r="E29" s="0" t="str">
        <f aca="false">"519-530"</f>
        <v>519-530</v>
      </c>
      <c r="F29" s="0" t="s">
        <v>2129</v>
      </c>
      <c r="G29" s="0" t="s">
        <v>9</v>
      </c>
      <c r="H29" s="0" t="str">
        <f aca="false">"870-881"</f>
        <v>870-881</v>
      </c>
      <c r="I29" s="0" t="s">
        <v>9</v>
      </c>
      <c r="J29" s="0" t="str">
        <f aca="false">"767-778"</f>
        <v>767-778</v>
      </c>
      <c r="K29" s="0" t="str">
        <f aca="false">"0.68"</f>
        <v>0.68</v>
      </c>
      <c r="L29" s="0" t="str">
        <f aca="false">"9.89"</f>
        <v>9.89</v>
      </c>
      <c r="M29" s="0" t="str">
        <f aca="false">"-22.8"</f>
        <v>-22.8</v>
      </c>
    </row>
    <row r="30" customFormat="false" ht="12.8" hidden="false" customHeight="false" outlineLevel="0" collapsed="false">
      <c r="A30" s="0" t="s">
        <v>2103</v>
      </c>
      <c r="B30" s="0" t="s">
        <v>9</v>
      </c>
      <c r="C30" s="0" t="str">
        <f aca="false">"355-366"</f>
        <v>355-366</v>
      </c>
      <c r="D30" s="0" t="s">
        <v>9</v>
      </c>
      <c r="E30" s="0" t="str">
        <f aca="false">"520-531"</f>
        <v>520-531</v>
      </c>
      <c r="F30" s="0" t="s">
        <v>2130</v>
      </c>
      <c r="G30" s="0" t="s">
        <v>9</v>
      </c>
      <c r="H30" s="0" t="str">
        <f aca="false">"520-531"</f>
        <v>520-531</v>
      </c>
      <c r="I30" s="0" t="s">
        <v>9</v>
      </c>
      <c r="J30" s="0" t="str">
        <f aca="false">"405-416"</f>
        <v>405-416</v>
      </c>
      <c r="K30" s="0" t="str">
        <f aca="false">"0.98"</f>
        <v>0.98</v>
      </c>
      <c r="L30" s="0" t="str">
        <f aca="false">"10.16"</f>
        <v>10.16</v>
      </c>
      <c r="M30" s="0" t="str">
        <f aca="false">"-28.5"</f>
        <v>-28.5</v>
      </c>
    </row>
    <row r="31" customFormat="false" ht="12.8" hidden="false" customHeight="false" outlineLevel="0" collapsed="false">
      <c r="A31" s="0" t="s">
        <v>2103</v>
      </c>
      <c r="B31" s="0" t="s">
        <v>9</v>
      </c>
      <c r="C31" s="0" t="str">
        <f aca="false">"357-368"</f>
        <v>357-368</v>
      </c>
      <c r="D31" s="0" t="s">
        <v>9</v>
      </c>
      <c r="E31" s="0" t="str">
        <f aca="false">"520-531"</f>
        <v>520-531</v>
      </c>
      <c r="F31" s="0" t="s">
        <v>2131</v>
      </c>
      <c r="G31" s="0" t="s">
        <v>9</v>
      </c>
      <c r="H31" s="0" t="str">
        <f aca="false">"179-190"</f>
        <v>179-190</v>
      </c>
      <c r="I31" s="0" t="s">
        <v>9</v>
      </c>
      <c r="J31" s="0" t="str">
        <f aca="false">"676-687"</f>
        <v>676-687</v>
      </c>
      <c r="K31" s="0" t="str">
        <f aca="false">"1.15"</f>
        <v>1.15</v>
      </c>
      <c r="L31" s="0" t="str">
        <f aca="false">"9.87"</f>
        <v>9.87</v>
      </c>
      <c r="M31" s="0" t="str">
        <f aca="false">"-31.3"</f>
        <v>-31.3</v>
      </c>
    </row>
    <row r="32" customFormat="false" ht="12.8" hidden="false" customHeight="false" outlineLevel="0" collapsed="false">
      <c r="A32" s="0" t="s">
        <v>2103</v>
      </c>
      <c r="B32" s="0" t="s">
        <v>9</v>
      </c>
      <c r="C32" s="0" t="str">
        <f aca="false">"358-369"</f>
        <v>358-369</v>
      </c>
      <c r="D32" s="0" t="s">
        <v>9</v>
      </c>
      <c r="E32" s="0" t="str">
        <f aca="false">"523-534"</f>
        <v>523-534</v>
      </c>
      <c r="F32" s="0" t="s">
        <v>2132</v>
      </c>
      <c r="G32" s="0" t="s">
        <v>9</v>
      </c>
      <c r="H32" s="0" t="str">
        <f aca="false">"158-169"</f>
        <v>158-169</v>
      </c>
      <c r="I32" s="0" t="s">
        <v>9</v>
      </c>
      <c r="J32" s="0" t="str">
        <f aca="false">"194-205"</f>
        <v>194-205</v>
      </c>
      <c r="K32" s="0" t="str">
        <f aca="false">"1.18"</f>
        <v>1.18</v>
      </c>
      <c r="L32" s="0" t="str">
        <f aca="false">"10.58"</f>
        <v>10.58</v>
      </c>
      <c r="M32" s="0" t="str">
        <f aca="false">"-38.2"</f>
        <v>-38.2</v>
      </c>
    </row>
    <row r="33" customFormat="false" ht="12.8" hidden="false" customHeight="false" outlineLevel="0" collapsed="false">
      <c r="A33" s="0" t="s">
        <v>2103</v>
      </c>
      <c r="B33" s="0" t="s">
        <v>9</v>
      </c>
      <c r="C33" s="0" t="str">
        <f aca="false">"355-366"</f>
        <v>355-366</v>
      </c>
      <c r="D33" s="0" t="s">
        <v>9</v>
      </c>
      <c r="E33" s="0" t="str">
        <f aca="false">"519-530"</f>
        <v>519-530</v>
      </c>
      <c r="F33" s="0" t="s">
        <v>2133</v>
      </c>
      <c r="G33" s="0" t="s">
        <v>9</v>
      </c>
      <c r="H33" s="0" t="str">
        <f aca="false">"225-236"</f>
        <v>225-236</v>
      </c>
      <c r="I33" s="0" t="s">
        <v>9</v>
      </c>
      <c r="J33" s="0" t="str">
        <f aca="false">"131-142"</f>
        <v>131-142</v>
      </c>
      <c r="K33" s="0" t="str">
        <f aca="false">"1.01"</f>
        <v>1.01</v>
      </c>
      <c r="L33" s="0" t="str">
        <f aca="false">"10.66"</f>
        <v>10.66</v>
      </c>
      <c r="M33" s="0" t="str">
        <f aca="false">"-29.2"</f>
        <v>-29.2</v>
      </c>
    </row>
    <row r="34" customFormat="false" ht="12.8" hidden="false" customHeight="false" outlineLevel="0" collapsed="false">
      <c r="A34" s="0" t="s">
        <v>2103</v>
      </c>
      <c r="B34" s="0" t="s">
        <v>9</v>
      </c>
      <c r="C34" s="0" t="str">
        <f aca="false">"352-363"</f>
        <v>352-363</v>
      </c>
      <c r="D34" s="0" t="s">
        <v>9</v>
      </c>
      <c r="E34" s="0" t="str">
        <f aca="false">"516-527"</f>
        <v>516-527</v>
      </c>
      <c r="F34" s="0" t="s">
        <v>2134</v>
      </c>
      <c r="G34" s="0" t="s">
        <v>13</v>
      </c>
      <c r="H34" s="0" t="str">
        <f aca="false">"132-143"</f>
        <v>132-143</v>
      </c>
      <c r="I34" s="0" t="s">
        <v>13</v>
      </c>
      <c r="J34" s="0" t="str">
        <f aca="false">"44-55"</f>
        <v>44-55</v>
      </c>
      <c r="K34" s="0" t="str">
        <f aca="false">"1.22"</f>
        <v>1.22</v>
      </c>
      <c r="L34" s="0" t="str">
        <f aca="false">"9.61"</f>
        <v>9.61</v>
      </c>
      <c r="M34" s="0" t="str">
        <f aca="false">"-9.0"</f>
        <v>-9.0</v>
      </c>
    </row>
    <row r="35" customFormat="false" ht="12.8" hidden="false" customHeight="false" outlineLevel="0" collapsed="false">
      <c r="A35" s="0" t="s">
        <v>2103</v>
      </c>
      <c r="B35" s="0" t="s">
        <v>9</v>
      </c>
      <c r="C35" s="0" t="str">
        <f aca="false">"354-365"</f>
        <v>354-365</v>
      </c>
      <c r="D35" s="0" t="s">
        <v>9</v>
      </c>
      <c r="E35" s="0" t="str">
        <f aca="false">"519-530"</f>
        <v>519-530</v>
      </c>
      <c r="F35" s="0" t="s">
        <v>2135</v>
      </c>
      <c r="G35" s="0" t="s">
        <v>9</v>
      </c>
      <c r="H35" s="0" t="str">
        <f aca="false">"349-360"</f>
        <v>349-360</v>
      </c>
      <c r="I35" s="0" t="s">
        <v>9</v>
      </c>
      <c r="J35" s="0" t="str">
        <f aca="false">"304-315"</f>
        <v>304-315</v>
      </c>
      <c r="K35" s="0" t="str">
        <f aca="false">"0.96"</f>
        <v>0.96</v>
      </c>
      <c r="L35" s="0" t="str">
        <f aca="false">"10.26"</f>
        <v>10.26</v>
      </c>
      <c r="M35" s="0" t="str">
        <f aca="false">"-9.0"</f>
        <v>-9.0</v>
      </c>
    </row>
    <row r="36" customFormat="false" ht="12.8" hidden="false" customHeight="false" outlineLevel="0" collapsed="false">
      <c r="A36" s="0" t="s">
        <v>2103</v>
      </c>
      <c r="B36" s="0" t="s">
        <v>9</v>
      </c>
      <c r="C36" s="0" t="str">
        <f aca="false">"358-369"</f>
        <v>358-369</v>
      </c>
      <c r="D36" s="0" t="s">
        <v>9</v>
      </c>
      <c r="E36" s="0" t="str">
        <f aca="false">"523-534"</f>
        <v>523-534</v>
      </c>
      <c r="F36" s="0" t="s">
        <v>2136</v>
      </c>
      <c r="G36" s="0" t="s">
        <v>9</v>
      </c>
      <c r="H36" s="0" t="str">
        <f aca="false">"11-22"</f>
        <v>11-22</v>
      </c>
      <c r="I36" s="0" t="s">
        <v>13</v>
      </c>
      <c r="J36" s="0" t="str">
        <f aca="false">"12-23"</f>
        <v>12-23</v>
      </c>
      <c r="K36" s="0" t="str">
        <f aca="false">"0.88"</f>
        <v>0.88</v>
      </c>
      <c r="L36" s="0" t="str">
        <f aca="false">"10.72"</f>
        <v>10.72</v>
      </c>
      <c r="M36" s="0" t="str">
        <f aca="false">"-12.7"</f>
        <v>-12.7</v>
      </c>
    </row>
    <row r="37" customFormat="false" ht="12.8" hidden="false" customHeight="false" outlineLevel="0" collapsed="false">
      <c r="A37" s="0" t="s">
        <v>2103</v>
      </c>
      <c r="B37" s="0" t="s">
        <v>9</v>
      </c>
      <c r="C37" s="0" t="str">
        <f aca="false">"351-362"</f>
        <v>351-362</v>
      </c>
      <c r="D37" s="0" t="s">
        <v>9</v>
      </c>
      <c r="E37" s="0" t="str">
        <f aca="false">"515-526"</f>
        <v>515-526</v>
      </c>
      <c r="F37" s="0" t="s">
        <v>2137</v>
      </c>
      <c r="G37" s="0" t="s">
        <v>9</v>
      </c>
      <c r="H37" s="0" t="str">
        <f aca="false">"153-164"</f>
        <v>153-164</v>
      </c>
      <c r="I37" s="0" t="s">
        <v>13</v>
      </c>
      <c r="J37" s="0" t="str">
        <f aca="false">"175-186"</f>
        <v>175-186</v>
      </c>
      <c r="K37" s="0" t="str">
        <f aca="false">"1.14"</f>
        <v>1.14</v>
      </c>
      <c r="L37" s="0" t="str">
        <f aca="false">"9.80"</f>
        <v>9.80</v>
      </c>
      <c r="M37" s="0" t="str">
        <f aca="false">"-27.1"</f>
        <v>-27.1</v>
      </c>
    </row>
    <row r="38" customFormat="false" ht="12.8" hidden="false" customHeight="false" outlineLevel="0" collapsed="false">
      <c r="A38" s="0" t="s">
        <v>2103</v>
      </c>
      <c r="B38" s="0" t="s">
        <v>9</v>
      </c>
      <c r="C38" s="0" t="str">
        <f aca="false">"354-365"</f>
        <v>354-365</v>
      </c>
      <c r="D38" s="0" t="s">
        <v>9</v>
      </c>
      <c r="E38" s="0" t="str">
        <f aca="false">"519-530"</f>
        <v>519-530</v>
      </c>
      <c r="F38" s="0" t="s">
        <v>2138</v>
      </c>
      <c r="G38" s="0" t="s">
        <v>24</v>
      </c>
      <c r="H38" s="0" t="str">
        <f aca="false">"369-380"</f>
        <v>369-380</v>
      </c>
      <c r="I38" s="0" t="s">
        <v>24</v>
      </c>
      <c r="J38" s="0" t="str">
        <f aca="false">"322-333"</f>
        <v>322-333</v>
      </c>
      <c r="K38" s="0" t="str">
        <f aca="false">"1.12"</f>
        <v>1.12</v>
      </c>
      <c r="L38" s="0" t="str">
        <f aca="false">"10.25"</f>
        <v>10.25</v>
      </c>
      <c r="M38" s="0" t="str">
        <f aca="false">"-3.0"</f>
        <v>-3.0</v>
      </c>
    </row>
    <row r="39" customFormat="false" ht="12.8" hidden="false" customHeight="false" outlineLevel="0" collapsed="false">
      <c r="A39" s="0" t="s">
        <v>2103</v>
      </c>
      <c r="B39" s="0" t="s">
        <v>9</v>
      </c>
      <c r="C39" s="0" t="str">
        <f aca="false">"354-365"</f>
        <v>354-365</v>
      </c>
      <c r="D39" s="0" t="s">
        <v>9</v>
      </c>
      <c r="E39" s="0" t="str">
        <f aca="false">"519-530"</f>
        <v>519-530</v>
      </c>
      <c r="F39" s="0" t="s">
        <v>2139</v>
      </c>
      <c r="G39" s="0" t="s">
        <v>9</v>
      </c>
      <c r="H39" s="0" t="str">
        <f aca="false">"40-51"</f>
        <v>40-51</v>
      </c>
      <c r="I39" s="0" t="s">
        <v>9</v>
      </c>
      <c r="J39" s="0" t="str">
        <f aca="false">"109-120"</f>
        <v>109-120</v>
      </c>
      <c r="K39" s="0" t="str">
        <f aca="false">"0.75"</f>
        <v>0.75</v>
      </c>
      <c r="L39" s="0" t="str">
        <f aca="false">"10.42"</f>
        <v>10.42</v>
      </c>
      <c r="M39" s="0" t="str">
        <f aca="false">"-12.6"</f>
        <v>-12.6</v>
      </c>
    </row>
    <row r="40" customFormat="false" ht="12.8" hidden="false" customHeight="false" outlineLevel="0" collapsed="false">
      <c r="A40" s="0" t="s">
        <v>2103</v>
      </c>
      <c r="B40" s="0" t="s">
        <v>9</v>
      </c>
      <c r="C40" s="0" t="str">
        <f aca="false">"354-365"</f>
        <v>354-365</v>
      </c>
      <c r="D40" s="0" t="s">
        <v>9</v>
      </c>
      <c r="E40" s="0" t="str">
        <f aca="false">"516-527"</f>
        <v>516-527</v>
      </c>
      <c r="F40" s="0" t="s">
        <v>2140</v>
      </c>
      <c r="G40" s="0" t="s">
        <v>120</v>
      </c>
      <c r="H40" s="0" t="str">
        <f aca="false">"38-49"</f>
        <v>38-49</v>
      </c>
      <c r="I40" s="0" t="s">
        <v>9</v>
      </c>
      <c r="J40" s="0" t="str">
        <f aca="false">"124-135"</f>
        <v>124-135</v>
      </c>
      <c r="K40" s="0" t="str">
        <f aca="false">"1.00"</f>
        <v>1.00</v>
      </c>
      <c r="L40" s="0" t="str">
        <f aca="false">"9.80"</f>
        <v>9.80</v>
      </c>
      <c r="M40" s="0" t="str">
        <f aca="false">"-4.8"</f>
        <v>-4.8</v>
      </c>
    </row>
    <row r="41" customFormat="false" ht="12.8" hidden="false" customHeight="false" outlineLevel="0" collapsed="false">
      <c r="A41" s="0" t="s">
        <v>2103</v>
      </c>
      <c r="B41" s="0" t="s">
        <v>9</v>
      </c>
      <c r="C41" s="0" t="str">
        <f aca="false">"354-365"</f>
        <v>354-365</v>
      </c>
      <c r="D41" s="0" t="s">
        <v>9</v>
      </c>
      <c r="E41" s="0" t="str">
        <f aca="false">"519-530"</f>
        <v>519-530</v>
      </c>
      <c r="F41" s="0" t="s">
        <v>2141</v>
      </c>
      <c r="G41" s="0" t="s">
        <v>9</v>
      </c>
      <c r="H41" s="0" t="str">
        <f aca="false">"13-24"</f>
        <v>13-24</v>
      </c>
      <c r="I41" s="0" t="s">
        <v>9</v>
      </c>
      <c r="J41" s="0" t="str">
        <f aca="false">"67-78"</f>
        <v>67-78</v>
      </c>
      <c r="K41" s="0" t="str">
        <f aca="false">"1.04"</f>
        <v>1.04</v>
      </c>
      <c r="L41" s="0" t="str">
        <f aca="false">"10.56"</f>
        <v>10.56</v>
      </c>
      <c r="M41" s="0" t="str">
        <f aca="false">"-7.0"</f>
        <v>-7.0</v>
      </c>
    </row>
    <row r="42" customFormat="false" ht="12.8" hidden="false" customHeight="false" outlineLevel="0" collapsed="false">
      <c r="A42" s="0" t="s">
        <v>2103</v>
      </c>
      <c r="B42" s="0" t="s">
        <v>9</v>
      </c>
      <c r="C42" s="0" t="str">
        <f aca="false">"354-365"</f>
        <v>354-365</v>
      </c>
      <c r="D42" s="0" t="s">
        <v>9</v>
      </c>
      <c r="E42" s="0" t="str">
        <f aca="false">"519-530"</f>
        <v>519-530</v>
      </c>
      <c r="F42" s="0" t="s">
        <v>2142</v>
      </c>
      <c r="G42" s="0" t="s">
        <v>9</v>
      </c>
      <c r="H42" s="0" t="str">
        <f aca="false">"150-161"</f>
        <v>150-161</v>
      </c>
      <c r="I42" s="0" t="s">
        <v>9</v>
      </c>
      <c r="J42" s="0" t="str">
        <f aca="false">"90-101"</f>
        <v>90-101</v>
      </c>
      <c r="K42" s="0" t="str">
        <f aca="false">"1.06"</f>
        <v>1.06</v>
      </c>
      <c r="L42" s="0" t="str">
        <f aca="false">"11.40"</f>
        <v>11.40</v>
      </c>
      <c r="M42" s="0" t="str">
        <f aca="false">"-19.0"</f>
        <v>-19.0</v>
      </c>
    </row>
    <row r="43" customFormat="false" ht="12.8" hidden="false" customHeight="false" outlineLevel="0" collapsed="false">
      <c r="A43" s="0" t="s">
        <v>2103</v>
      </c>
      <c r="B43" s="0" t="s">
        <v>9</v>
      </c>
      <c r="C43" s="0" t="str">
        <f aca="false">"351-362"</f>
        <v>351-362</v>
      </c>
      <c r="D43" s="0" t="s">
        <v>9</v>
      </c>
      <c r="E43" s="0" t="str">
        <f aca="false">"515-526"</f>
        <v>515-526</v>
      </c>
      <c r="F43" s="0" t="s">
        <v>2143</v>
      </c>
      <c r="G43" s="0" t="s">
        <v>9</v>
      </c>
      <c r="H43" s="0" t="str">
        <f aca="false">"143-154"</f>
        <v>143-154</v>
      </c>
      <c r="I43" s="0" t="s">
        <v>9</v>
      </c>
      <c r="J43" s="0" t="str">
        <f aca="false">"98-109"</f>
        <v>98-109</v>
      </c>
      <c r="K43" s="0" t="str">
        <f aca="false">"0.95"</f>
        <v>0.95</v>
      </c>
      <c r="L43" s="0" t="str">
        <f aca="false">"11.50"</f>
        <v>11.50</v>
      </c>
      <c r="M43" s="0" t="str">
        <f aca="false">"-1.7"</f>
        <v>-1.7</v>
      </c>
    </row>
    <row r="44" customFormat="false" ht="12.8" hidden="false" customHeight="false" outlineLevel="0" collapsed="false">
      <c r="A44" s="0" t="s">
        <v>2103</v>
      </c>
      <c r="B44" s="0" t="s">
        <v>9</v>
      </c>
      <c r="C44" s="0" t="str">
        <f aca="false">"354-365"</f>
        <v>354-365</v>
      </c>
      <c r="D44" s="0" t="s">
        <v>9</v>
      </c>
      <c r="E44" s="0" t="str">
        <f aca="false">"519-530"</f>
        <v>519-530</v>
      </c>
      <c r="F44" s="0" t="s">
        <v>2144</v>
      </c>
      <c r="G44" s="0" t="s">
        <v>13</v>
      </c>
      <c r="H44" s="0" t="str">
        <f aca="false">"299-310"</f>
        <v>299-310</v>
      </c>
      <c r="I44" s="0" t="s">
        <v>13</v>
      </c>
      <c r="J44" s="0" t="str">
        <f aca="false">"108-119"</f>
        <v>108-119</v>
      </c>
      <c r="K44" s="0" t="str">
        <f aca="false">"1.06"</f>
        <v>1.06</v>
      </c>
      <c r="L44" s="0" t="str">
        <f aca="false">"11.76"</f>
        <v>11.76</v>
      </c>
      <c r="M44" s="0" t="str">
        <f aca="false">"-6.6"</f>
        <v>-6.6</v>
      </c>
    </row>
    <row r="45" customFormat="false" ht="12.8" hidden="false" customHeight="false" outlineLevel="0" collapsed="false">
      <c r="A45" s="0" t="s">
        <v>2103</v>
      </c>
      <c r="B45" s="0" t="s">
        <v>9</v>
      </c>
      <c r="C45" s="0" t="str">
        <f aca="false">"350-361"</f>
        <v>350-361</v>
      </c>
      <c r="D45" s="0" t="s">
        <v>9</v>
      </c>
      <c r="E45" s="0" t="str">
        <f aca="false">"515-526"</f>
        <v>515-526</v>
      </c>
      <c r="F45" s="0" t="s">
        <v>2145</v>
      </c>
      <c r="G45" s="0" t="s">
        <v>9</v>
      </c>
      <c r="H45" s="0" t="str">
        <f aca="false">"79-90"</f>
        <v>79-90</v>
      </c>
      <c r="I45" s="0" t="s">
        <v>9</v>
      </c>
      <c r="J45" s="0" t="str">
        <f aca="false">"144-155"</f>
        <v>144-155</v>
      </c>
      <c r="K45" s="0" t="str">
        <f aca="false">"1.08"</f>
        <v>1.08</v>
      </c>
      <c r="L45" s="0" t="str">
        <f aca="false">"10.93"</f>
        <v>10.93</v>
      </c>
      <c r="M45" s="0" t="str">
        <f aca="false">"-10.9"</f>
        <v>-10.9</v>
      </c>
    </row>
    <row r="46" customFormat="false" ht="12.8" hidden="false" customHeight="false" outlineLevel="0" collapsed="false">
      <c r="A46" s="0" t="s">
        <v>2103</v>
      </c>
      <c r="B46" s="0" t="s">
        <v>9</v>
      </c>
      <c r="C46" s="0" t="str">
        <f aca="false">"355-366"</f>
        <v>355-366</v>
      </c>
      <c r="D46" s="0" t="s">
        <v>9</v>
      </c>
      <c r="E46" s="0" t="str">
        <f aca="false">"519-530"</f>
        <v>519-530</v>
      </c>
      <c r="F46" s="0" t="s">
        <v>2146</v>
      </c>
      <c r="G46" s="0" t="s">
        <v>9</v>
      </c>
      <c r="H46" s="0" t="str">
        <f aca="false">"302-313"</f>
        <v>302-313</v>
      </c>
      <c r="I46" s="0" t="s">
        <v>9</v>
      </c>
      <c r="J46" s="0" t="str">
        <f aca="false">"208-219"</f>
        <v>208-219</v>
      </c>
      <c r="K46" s="0" t="str">
        <f aca="false">"0.89"</f>
        <v>0.89</v>
      </c>
      <c r="L46" s="0" t="str">
        <f aca="false">"9.48"</f>
        <v>9.48</v>
      </c>
      <c r="M46" s="0" t="str">
        <f aca="false">"-11.6"</f>
        <v>-11.6</v>
      </c>
    </row>
    <row r="47" customFormat="false" ht="12.8" hidden="false" customHeight="false" outlineLevel="0" collapsed="false">
      <c r="A47" s="0" t="s">
        <v>2103</v>
      </c>
      <c r="B47" s="0" t="s">
        <v>9</v>
      </c>
      <c r="C47" s="0" t="str">
        <f aca="false">"351-362"</f>
        <v>351-362</v>
      </c>
      <c r="D47" s="0" t="s">
        <v>9</v>
      </c>
      <c r="E47" s="0" t="str">
        <f aca="false">"516-527"</f>
        <v>516-527</v>
      </c>
      <c r="F47" s="0" t="s">
        <v>2147</v>
      </c>
      <c r="G47" s="0" t="s">
        <v>13</v>
      </c>
      <c r="H47" s="0" t="str">
        <f aca="false">"63-74"</f>
        <v>63-74</v>
      </c>
      <c r="I47" s="0" t="s">
        <v>13</v>
      </c>
      <c r="J47" s="0" t="str">
        <f aca="false">"126-137"</f>
        <v>126-137</v>
      </c>
      <c r="K47" s="0" t="str">
        <f aca="false">"1.16"</f>
        <v>1.16</v>
      </c>
      <c r="L47" s="0" t="str">
        <f aca="false">"10.98"</f>
        <v>10.98</v>
      </c>
      <c r="M47" s="0" t="str">
        <f aca="false">"-4.6"</f>
        <v>-4.6</v>
      </c>
    </row>
    <row r="48" customFormat="false" ht="12.8" hidden="false" customHeight="false" outlineLevel="0" collapsed="false">
      <c r="A48" s="0" t="s">
        <v>2103</v>
      </c>
      <c r="B48" s="0" t="s">
        <v>9</v>
      </c>
      <c r="C48" s="0" t="str">
        <f aca="false">"354-365"</f>
        <v>354-365</v>
      </c>
      <c r="D48" s="0" t="s">
        <v>9</v>
      </c>
      <c r="E48" s="0" t="str">
        <f aca="false">"516-527"</f>
        <v>516-527</v>
      </c>
      <c r="F48" s="0" t="s">
        <v>2148</v>
      </c>
      <c r="G48" s="0" t="s">
        <v>885</v>
      </c>
      <c r="H48" s="0" t="str">
        <f aca="false">"195-206"</f>
        <v>195-206</v>
      </c>
      <c r="I48" s="0" t="s">
        <v>827</v>
      </c>
      <c r="J48" s="0" t="str">
        <f aca="false">"87-98"</f>
        <v>87-98</v>
      </c>
      <c r="K48" s="0" t="str">
        <f aca="false">"1.18"</f>
        <v>1.18</v>
      </c>
      <c r="L48" s="0" t="str">
        <f aca="false">"9.86"</f>
        <v>9.86</v>
      </c>
      <c r="M48" s="0" t="str">
        <f aca="false">"5.7"</f>
        <v>5.7</v>
      </c>
    </row>
    <row r="49" customFormat="false" ht="12.8" hidden="false" customHeight="false" outlineLevel="0" collapsed="false">
      <c r="A49" s="0" t="s">
        <v>2103</v>
      </c>
      <c r="B49" s="0" t="s">
        <v>9</v>
      </c>
      <c r="C49" s="0" t="str">
        <f aca="false">"354-365"</f>
        <v>354-365</v>
      </c>
      <c r="D49" s="0" t="s">
        <v>9</v>
      </c>
      <c r="E49" s="0" t="str">
        <f aca="false">"519-530"</f>
        <v>519-530</v>
      </c>
      <c r="F49" s="0" t="s">
        <v>2149</v>
      </c>
      <c r="G49" s="0" t="s">
        <v>9</v>
      </c>
      <c r="H49" s="0" t="str">
        <f aca="false">"11-22"</f>
        <v>11-22</v>
      </c>
      <c r="I49" s="0" t="s">
        <v>9</v>
      </c>
      <c r="J49" s="0" t="str">
        <f aca="false">"66-77"</f>
        <v>66-77</v>
      </c>
      <c r="K49" s="0" t="str">
        <f aca="false">"1.09"</f>
        <v>1.09</v>
      </c>
      <c r="L49" s="0" t="str">
        <f aca="false">"9.77"</f>
        <v>9.77</v>
      </c>
      <c r="M49" s="0" t="str">
        <f aca="false">"-9.6"</f>
        <v>-9.6</v>
      </c>
    </row>
    <row r="50" customFormat="false" ht="12.8" hidden="false" customHeight="false" outlineLevel="0" collapsed="false">
      <c r="A50" s="0" t="s">
        <v>2103</v>
      </c>
      <c r="B50" s="0" t="s">
        <v>9</v>
      </c>
      <c r="C50" s="0" t="str">
        <f aca="false">"351-362"</f>
        <v>351-362</v>
      </c>
      <c r="D50" s="0" t="s">
        <v>9</v>
      </c>
      <c r="E50" s="0" t="str">
        <f aca="false">"515-526"</f>
        <v>515-526</v>
      </c>
      <c r="F50" s="0" t="s">
        <v>2150</v>
      </c>
      <c r="G50" s="0" t="s">
        <v>9</v>
      </c>
      <c r="H50" s="0" t="str">
        <f aca="false">"94-105"</f>
        <v>94-105</v>
      </c>
      <c r="I50" s="0" t="s">
        <v>9</v>
      </c>
      <c r="J50" s="0" t="str">
        <f aca="false">"11-22"</f>
        <v>11-22</v>
      </c>
      <c r="K50" s="0" t="str">
        <f aca="false">"1.11"</f>
        <v>1.11</v>
      </c>
      <c r="L50" s="0" t="str">
        <f aca="false">"11.21"</f>
        <v>11.21</v>
      </c>
      <c r="M50" s="0" t="str">
        <f aca="false">"-13.5"</f>
        <v>-13.5</v>
      </c>
    </row>
    <row r="51" customFormat="false" ht="12.8" hidden="false" customHeight="false" outlineLevel="0" collapsed="false">
      <c r="A51" s="0" t="s">
        <v>2103</v>
      </c>
      <c r="B51" s="0" t="s">
        <v>9</v>
      </c>
      <c r="C51" s="0" t="str">
        <f aca="false">"358-369"</f>
        <v>358-369</v>
      </c>
      <c r="D51" s="0" t="s">
        <v>9</v>
      </c>
      <c r="E51" s="0" t="str">
        <f aca="false">"520-531"</f>
        <v>520-531</v>
      </c>
      <c r="F51" s="0" t="s">
        <v>2151</v>
      </c>
      <c r="G51" s="0" t="s">
        <v>13</v>
      </c>
      <c r="H51" s="0" t="str">
        <f aca="false">"573-584"</f>
        <v>573-584</v>
      </c>
      <c r="I51" s="0" t="s">
        <v>13</v>
      </c>
      <c r="J51" s="0" t="str">
        <f aca="false">"537-548"</f>
        <v>537-548</v>
      </c>
      <c r="K51" s="0" t="str">
        <f aca="false">"1.04"</f>
        <v>1.04</v>
      </c>
      <c r="L51" s="0" t="str">
        <f aca="false">"10.10"</f>
        <v>10.10</v>
      </c>
      <c r="M51" s="0" t="str">
        <f aca="false">"-29.9"</f>
        <v>-29.9</v>
      </c>
    </row>
    <row r="52" customFormat="false" ht="12.8" hidden="false" customHeight="false" outlineLevel="0" collapsed="false">
      <c r="A52" s="0" t="s">
        <v>2103</v>
      </c>
      <c r="B52" s="0" t="s">
        <v>9</v>
      </c>
      <c r="C52" s="0" t="str">
        <f aca="false">"351-362"</f>
        <v>351-362</v>
      </c>
      <c r="D52" s="0" t="s">
        <v>9</v>
      </c>
      <c r="E52" s="0" t="str">
        <f aca="false">"515-526"</f>
        <v>515-526</v>
      </c>
      <c r="F52" s="0" t="s">
        <v>2152</v>
      </c>
      <c r="G52" s="0" t="s">
        <v>9</v>
      </c>
      <c r="H52" s="0" t="str">
        <f aca="false">"106-117"</f>
        <v>106-117</v>
      </c>
      <c r="I52" s="0" t="s">
        <v>9</v>
      </c>
      <c r="J52" s="0" t="str">
        <f aca="false">"174-185"</f>
        <v>174-185</v>
      </c>
      <c r="K52" s="0" t="str">
        <f aca="false">"1.17"</f>
        <v>1.17</v>
      </c>
      <c r="L52" s="0" t="str">
        <f aca="false">"11.80"</f>
        <v>11.80</v>
      </c>
      <c r="M52" s="0" t="str">
        <f aca="false">"-24.2"</f>
        <v>-24.2</v>
      </c>
    </row>
    <row r="53" customFormat="false" ht="12.8" hidden="false" customHeight="false" outlineLevel="0" collapsed="false">
      <c r="A53" s="0" t="s">
        <v>2103</v>
      </c>
      <c r="B53" s="0" t="s">
        <v>9</v>
      </c>
      <c r="C53" s="0" t="str">
        <f aca="false">"351-362"</f>
        <v>351-362</v>
      </c>
      <c r="D53" s="0" t="s">
        <v>9</v>
      </c>
      <c r="E53" s="0" t="str">
        <f aca="false">"519-530"</f>
        <v>519-530</v>
      </c>
      <c r="F53" s="0" t="s">
        <v>2153</v>
      </c>
      <c r="G53" s="0" t="s">
        <v>9</v>
      </c>
      <c r="H53" s="0" t="str">
        <f aca="false">"360-371"</f>
        <v>360-371</v>
      </c>
      <c r="I53" s="0" t="s">
        <v>9</v>
      </c>
      <c r="J53" s="0" t="str">
        <f aca="false">"285-296"</f>
        <v>285-296</v>
      </c>
      <c r="K53" s="0" t="str">
        <f aca="false">"1.05"</f>
        <v>1.05</v>
      </c>
      <c r="L53" s="0" t="str">
        <f aca="false">"12.21"</f>
        <v>12.21</v>
      </c>
      <c r="M53" s="0" t="str">
        <f aca="false">"-19.2"</f>
        <v>-19.2</v>
      </c>
    </row>
    <row r="54" customFormat="false" ht="12.8" hidden="false" customHeight="false" outlineLevel="0" collapsed="false">
      <c r="A54" s="0" t="s">
        <v>2103</v>
      </c>
      <c r="B54" s="0" t="s">
        <v>9</v>
      </c>
      <c r="C54" s="0" t="str">
        <f aca="false">"358-369"</f>
        <v>358-369</v>
      </c>
      <c r="D54" s="0" t="s">
        <v>9</v>
      </c>
      <c r="E54" s="0" t="str">
        <f aca="false">"523-534"</f>
        <v>523-534</v>
      </c>
      <c r="F54" s="0" t="s">
        <v>2154</v>
      </c>
      <c r="G54" s="0" t="s">
        <v>9</v>
      </c>
      <c r="H54" s="0" t="str">
        <f aca="false">"469-480"</f>
        <v>469-480</v>
      </c>
      <c r="I54" s="0" t="s">
        <v>9</v>
      </c>
      <c r="J54" s="0" t="str">
        <f aca="false">"365-376"</f>
        <v>365-376</v>
      </c>
      <c r="K54" s="0" t="str">
        <f aca="false">"0.99"</f>
        <v>0.99</v>
      </c>
      <c r="L54" s="0" t="str">
        <f aca="false">"11.23"</f>
        <v>11.23</v>
      </c>
      <c r="M54" s="0" t="str">
        <f aca="false">"-33.8"</f>
        <v>-33.8</v>
      </c>
    </row>
    <row r="55" customFormat="false" ht="12.8" hidden="false" customHeight="false" outlineLevel="0" collapsed="false">
      <c r="A55" s="0" t="s">
        <v>2103</v>
      </c>
      <c r="B55" s="0" t="s">
        <v>9</v>
      </c>
      <c r="C55" s="0" t="str">
        <f aca="false">"354-365"</f>
        <v>354-365</v>
      </c>
      <c r="D55" s="0" t="s">
        <v>9</v>
      </c>
      <c r="E55" s="0" t="str">
        <f aca="false">"518-529"</f>
        <v>518-529</v>
      </c>
      <c r="F55" s="0" t="s">
        <v>2155</v>
      </c>
      <c r="G55" s="0" t="s">
        <v>24</v>
      </c>
      <c r="H55" s="0" t="str">
        <f aca="false">"373-384"</f>
        <v>373-384</v>
      </c>
      <c r="I55" s="0" t="s">
        <v>24</v>
      </c>
      <c r="J55" s="0" t="str">
        <f aca="false">"401-412"</f>
        <v>401-412</v>
      </c>
      <c r="K55" s="0" t="str">
        <f aca="false">"0.93"</f>
        <v>0.93</v>
      </c>
      <c r="L55" s="0" t="str">
        <f aca="false">"10.87"</f>
        <v>10.87</v>
      </c>
      <c r="M55" s="0" t="str">
        <f aca="false">"-5.9"</f>
        <v>-5.9</v>
      </c>
    </row>
    <row r="56" customFormat="false" ht="12.8" hidden="false" customHeight="false" outlineLevel="0" collapsed="false">
      <c r="A56" s="0" t="s">
        <v>2103</v>
      </c>
      <c r="B56" s="0" t="s">
        <v>9</v>
      </c>
      <c r="C56" s="0" t="str">
        <f aca="false">"351-362"</f>
        <v>351-362</v>
      </c>
      <c r="D56" s="0" t="s">
        <v>9</v>
      </c>
      <c r="E56" s="0" t="str">
        <f aca="false">"515-526"</f>
        <v>515-526</v>
      </c>
      <c r="F56" s="0" t="s">
        <v>2156</v>
      </c>
      <c r="G56" s="0" t="s">
        <v>9</v>
      </c>
      <c r="H56" s="0" t="str">
        <f aca="false">"99-110"</f>
        <v>99-110</v>
      </c>
      <c r="I56" s="0" t="s">
        <v>9</v>
      </c>
      <c r="J56" s="0" t="str">
        <f aca="false">"146-157"</f>
        <v>146-157</v>
      </c>
      <c r="K56" s="0" t="str">
        <f aca="false">"1.01"</f>
        <v>1.01</v>
      </c>
      <c r="L56" s="0" t="str">
        <f aca="false">"10.13"</f>
        <v>10.13</v>
      </c>
      <c r="M56" s="0" t="str">
        <f aca="false">"-6.6"</f>
        <v>-6.6</v>
      </c>
    </row>
    <row r="57" customFormat="false" ht="12.8" hidden="false" customHeight="false" outlineLevel="0" collapsed="false">
      <c r="A57" s="0" t="s">
        <v>2103</v>
      </c>
      <c r="B57" s="0" t="s">
        <v>9</v>
      </c>
      <c r="C57" s="0" t="str">
        <f aca="false">"351-362"</f>
        <v>351-362</v>
      </c>
      <c r="D57" s="0" t="s">
        <v>9</v>
      </c>
      <c r="E57" s="0" t="str">
        <f aca="false">"515-526"</f>
        <v>515-526</v>
      </c>
      <c r="F57" s="0" t="s">
        <v>2157</v>
      </c>
      <c r="G57" s="0" t="s">
        <v>13</v>
      </c>
      <c r="H57" s="0" t="str">
        <f aca="false">"937-948"</f>
        <v>937-948</v>
      </c>
      <c r="I57" s="0" t="s">
        <v>13</v>
      </c>
      <c r="J57" s="0" t="str">
        <f aca="false">"887-898"</f>
        <v>887-898</v>
      </c>
      <c r="K57" s="0" t="str">
        <f aca="false">"1.07"</f>
        <v>1.07</v>
      </c>
      <c r="L57" s="0" t="str">
        <f aca="false">"11.20"</f>
        <v>11.20</v>
      </c>
      <c r="M57" s="0" t="str">
        <f aca="false">"2.1"</f>
        <v>2.1</v>
      </c>
    </row>
    <row r="58" customFormat="false" ht="12.8" hidden="false" customHeight="false" outlineLevel="0" collapsed="false">
      <c r="A58" s="0" t="s">
        <v>2103</v>
      </c>
      <c r="B58" s="0" t="s">
        <v>9</v>
      </c>
      <c r="C58" s="0" t="str">
        <f aca="false">"351-362"</f>
        <v>351-362</v>
      </c>
      <c r="D58" s="0" t="s">
        <v>9</v>
      </c>
      <c r="E58" s="0" t="str">
        <f aca="false">"515-526"</f>
        <v>515-526</v>
      </c>
      <c r="F58" s="0" t="s">
        <v>2158</v>
      </c>
      <c r="G58" s="0" t="s">
        <v>70</v>
      </c>
      <c r="H58" s="0" t="str">
        <f aca="false">"88-99"</f>
        <v>88-99</v>
      </c>
      <c r="I58" s="0" t="s">
        <v>70</v>
      </c>
      <c r="J58" s="0" t="str">
        <f aca="false">"127-138"</f>
        <v>127-138</v>
      </c>
      <c r="K58" s="0" t="str">
        <f aca="false">"0.88"</f>
        <v>0.88</v>
      </c>
      <c r="L58" s="0" t="str">
        <f aca="false">"9.98"</f>
        <v>9.98</v>
      </c>
      <c r="M58" s="0" t="str">
        <f aca="false">"-5.4"</f>
        <v>-5.4</v>
      </c>
    </row>
    <row r="59" customFormat="false" ht="12.8" hidden="false" customHeight="false" outlineLevel="0" collapsed="false">
      <c r="A59" s="0" t="s">
        <v>2103</v>
      </c>
      <c r="B59" s="0" t="s">
        <v>9</v>
      </c>
      <c r="C59" s="0" t="str">
        <f aca="false">"354-365"</f>
        <v>354-365</v>
      </c>
      <c r="D59" s="0" t="s">
        <v>9</v>
      </c>
      <c r="E59" s="0" t="str">
        <f aca="false">"519-530"</f>
        <v>519-530</v>
      </c>
      <c r="F59" s="0" t="s">
        <v>2159</v>
      </c>
      <c r="G59" s="0" t="s">
        <v>13</v>
      </c>
      <c r="H59" s="0" t="str">
        <f aca="false">"161-172"</f>
        <v>161-172</v>
      </c>
      <c r="I59" s="0" t="s">
        <v>13</v>
      </c>
      <c r="J59" s="0" t="str">
        <f aca="false">"73-84"</f>
        <v>73-84</v>
      </c>
      <c r="K59" s="0" t="str">
        <f aca="false">"1.11"</f>
        <v>1.11</v>
      </c>
      <c r="L59" s="0" t="str">
        <f aca="false">"11.82"</f>
        <v>11.82</v>
      </c>
      <c r="M59" s="0" t="str">
        <f aca="false">"-16.5"</f>
        <v>-16.5</v>
      </c>
    </row>
    <row r="60" customFormat="false" ht="12.8" hidden="false" customHeight="false" outlineLevel="0" collapsed="false">
      <c r="A60" s="0" t="s">
        <v>2103</v>
      </c>
      <c r="B60" s="0" t="s">
        <v>9</v>
      </c>
      <c r="C60" s="0" t="str">
        <f aca="false">"351-362"</f>
        <v>351-362</v>
      </c>
      <c r="D60" s="0" t="s">
        <v>9</v>
      </c>
      <c r="E60" s="0" t="str">
        <f aca="false">"516-527"</f>
        <v>516-527</v>
      </c>
      <c r="F60" s="0" t="s">
        <v>2160</v>
      </c>
      <c r="G60" s="0" t="s">
        <v>9</v>
      </c>
      <c r="H60" s="0" t="str">
        <f aca="false">"213-224"</f>
        <v>213-224</v>
      </c>
      <c r="I60" s="0" t="s">
        <v>9</v>
      </c>
      <c r="J60" s="0" t="str">
        <f aca="false">"91-102"</f>
        <v>91-102</v>
      </c>
      <c r="K60" s="0" t="str">
        <f aca="false">"1.23"</f>
        <v>1.23</v>
      </c>
      <c r="L60" s="0" t="str">
        <f aca="false">"11.95"</f>
        <v>11.95</v>
      </c>
      <c r="M60" s="0" t="str">
        <f aca="false">"-22.8"</f>
        <v>-22.8</v>
      </c>
    </row>
    <row r="61" customFormat="false" ht="12.8" hidden="false" customHeight="false" outlineLevel="0" collapsed="false">
      <c r="A61" s="0" t="s">
        <v>2103</v>
      </c>
      <c r="B61" s="0" t="s">
        <v>9</v>
      </c>
      <c r="C61" s="0" t="str">
        <f aca="false">"359-370"</f>
        <v>359-370</v>
      </c>
      <c r="D61" s="0" t="s">
        <v>9</v>
      </c>
      <c r="E61" s="0" t="str">
        <f aca="false">"523-534"</f>
        <v>523-534</v>
      </c>
      <c r="F61" s="0" t="s">
        <v>2161</v>
      </c>
      <c r="G61" s="0" t="s">
        <v>9</v>
      </c>
      <c r="H61" s="0" t="str">
        <f aca="false">"131-142"</f>
        <v>131-142</v>
      </c>
      <c r="I61" s="0" t="s">
        <v>9</v>
      </c>
      <c r="J61" s="0" t="str">
        <f aca="false">"69-80"</f>
        <v>69-80</v>
      </c>
      <c r="K61" s="0" t="str">
        <f aca="false">"1.22"</f>
        <v>1.22</v>
      </c>
      <c r="L61" s="0" t="str">
        <f aca="false">"11.93"</f>
        <v>11.93</v>
      </c>
      <c r="M61" s="0" t="str">
        <f aca="false">"-29.7"</f>
        <v>-29.7</v>
      </c>
    </row>
    <row r="62" customFormat="false" ht="12.8" hidden="false" customHeight="false" outlineLevel="0" collapsed="false">
      <c r="A62" s="0" t="s">
        <v>2103</v>
      </c>
      <c r="B62" s="0" t="s">
        <v>9</v>
      </c>
      <c r="C62" s="0" t="str">
        <f aca="false">"358-369"</f>
        <v>358-369</v>
      </c>
      <c r="D62" s="0" t="s">
        <v>9</v>
      </c>
      <c r="E62" s="0" t="str">
        <f aca="false">"520-531"</f>
        <v>520-531</v>
      </c>
      <c r="F62" s="0" t="s">
        <v>2162</v>
      </c>
      <c r="G62" s="0" t="s">
        <v>13</v>
      </c>
      <c r="H62" s="0" t="str">
        <f aca="false">"490-501"</f>
        <v>490-501</v>
      </c>
      <c r="I62" s="0" t="s">
        <v>13</v>
      </c>
      <c r="J62" s="0" t="str">
        <f aca="false">"350-361"</f>
        <v>350-361</v>
      </c>
      <c r="K62" s="0" t="str">
        <f aca="false">"0.96"</f>
        <v>0.96</v>
      </c>
      <c r="L62" s="0" t="str">
        <f aca="false">"10.91"</f>
        <v>10.91</v>
      </c>
      <c r="M62" s="0" t="str">
        <f aca="false">"-25.1"</f>
        <v>-25.1</v>
      </c>
    </row>
    <row r="63" customFormat="false" ht="12.8" hidden="false" customHeight="false" outlineLevel="0" collapsed="false">
      <c r="A63" s="0" t="s">
        <v>2103</v>
      </c>
      <c r="B63" s="0" t="s">
        <v>9</v>
      </c>
      <c r="C63" s="0" t="str">
        <f aca="false">"354-365"</f>
        <v>354-365</v>
      </c>
      <c r="D63" s="0" t="s">
        <v>9</v>
      </c>
      <c r="E63" s="0" t="str">
        <f aca="false">"522-533"</f>
        <v>522-533</v>
      </c>
      <c r="F63" s="0" t="s">
        <v>2163</v>
      </c>
      <c r="G63" s="0" t="s">
        <v>9</v>
      </c>
      <c r="H63" s="0" t="str">
        <f aca="false">"251-262"</f>
        <v>251-262</v>
      </c>
      <c r="I63" s="0" t="s">
        <v>9</v>
      </c>
      <c r="J63" s="0" t="str">
        <f aca="false">"208-219"</f>
        <v>208-219</v>
      </c>
      <c r="K63" s="0" t="str">
        <f aca="false">"1.18"</f>
        <v>1.18</v>
      </c>
      <c r="L63" s="0" t="str">
        <f aca="false">"11.65"</f>
        <v>11.65</v>
      </c>
      <c r="M63" s="0" t="str">
        <f aca="false">"-25.8"</f>
        <v>-25.8</v>
      </c>
    </row>
    <row r="64" customFormat="false" ht="12.8" hidden="false" customHeight="false" outlineLevel="0" collapsed="false">
      <c r="A64" s="0" t="s">
        <v>2103</v>
      </c>
      <c r="B64" s="0" t="s">
        <v>9</v>
      </c>
      <c r="C64" s="0" t="str">
        <f aca="false">"358-369"</f>
        <v>358-369</v>
      </c>
      <c r="D64" s="0" t="s">
        <v>9</v>
      </c>
      <c r="E64" s="0" t="str">
        <f aca="false">"522-533"</f>
        <v>522-533</v>
      </c>
      <c r="F64" s="0" t="s">
        <v>2164</v>
      </c>
      <c r="G64" s="0" t="s">
        <v>9</v>
      </c>
      <c r="H64" s="0" t="str">
        <f aca="false">"692-703"</f>
        <v>692-703</v>
      </c>
      <c r="I64" s="0" t="s">
        <v>9</v>
      </c>
      <c r="J64" s="0" t="str">
        <f aca="false">"655-666"</f>
        <v>655-666</v>
      </c>
      <c r="K64" s="0" t="str">
        <f aca="false">"1.16"</f>
        <v>1.16</v>
      </c>
      <c r="L64" s="0" t="str">
        <f aca="false">"10.19"</f>
        <v>10.19</v>
      </c>
      <c r="M64" s="0" t="str">
        <f aca="false">"-23.0"</f>
        <v>-23.0</v>
      </c>
    </row>
    <row r="65" customFormat="false" ht="12.8" hidden="false" customHeight="false" outlineLevel="0" collapsed="false">
      <c r="A65" s="0" t="s">
        <v>2103</v>
      </c>
      <c r="B65" s="0" t="s">
        <v>9</v>
      </c>
      <c r="C65" s="0" t="str">
        <f aca="false">"354-365"</f>
        <v>354-365</v>
      </c>
      <c r="D65" s="0" t="s">
        <v>9</v>
      </c>
      <c r="E65" s="0" t="str">
        <f aca="false">"517-528"</f>
        <v>517-528</v>
      </c>
      <c r="F65" s="0" t="s">
        <v>2165</v>
      </c>
      <c r="G65" s="0" t="s">
        <v>9</v>
      </c>
      <c r="H65" s="0" t="str">
        <f aca="false">"157-168"</f>
        <v>157-168</v>
      </c>
      <c r="I65" s="0" t="s">
        <v>9</v>
      </c>
      <c r="J65" s="0" t="str">
        <f aca="false">"85-96"</f>
        <v>85-96</v>
      </c>
      <c r="K65" s="0" t="str">
        <f aca="false">"0.80"</f>
        <v>0.80</v>
      </c>
      <c r="L65" s="0" t="str">
        <f aca="false">"11.44"</f>
        <v>11.44</v>
      </c>
      <c r="M65" s="0" t="str">
        <f aca="false">"-20.9"</f>
        <v>-20.9</v>
      </c>
    </row>
    <row r="66" customFormat="false" ht="12.8" hidden="false" customHeight="false" outlineLevel="0" collapsed="false">
      <c r="A66" s="0" t="s">
        <v>2103</v>
      </c>
      <c r="B66" s="0" t="s">
        <v>9</v>
      </c>
      <c r="C66" s="0" t="str">
        <f aca="false">"357-368"</f>
        <v>357-368</v>
      </c>
      <c r="D66" s="0" t="s">
        <v>9</v>
      </c>
      <c r="E66" s="0" t="str">
        <f aca="false">"523-534"</f>
        <v>523-534</v>
      </c>
      <c r="F66" s="0" t="s">
        <v>2166</v>
      </c>
      <c r="G66" s="0" t="s">
        <v>13</v>
      </c>
      <c r="H66" s="0" t="str">
        <f aca="false">"203-214"</f>
        <v>203-214</v>
      </c>
      <c r="I66" s="0" t="s">
        <v>13</v>
      </c>
      <c r="J66" s="0" t="str">
        <f aca="false">"17-28"</f>
        <v>17-28</v>
      </c>
      <c r="K66" s="0" t="str">
        <f aca="false">"1.06"</f>
        <v>1.06</v>
      </c>
      <c r="L66" s="0" t="str">
        <f aca="false">"11.92"</f>
        <v>11.92</v>
      </c>
      <c r="M66" s="0" t="str">
        <f aca="false">"-40.4"</f>
        <v>-40.4</v>
      </c>
    </row>
    <row r="67" customFormat="false" ht="12.8" hidden="false" customHeight="false" outlineLevel="0" collapsed="false">
      <c r="A67" s="0" t="s">
        <v>2103</v>
      </c>
      <c r="B67" s="0" t="s">
        <v>9</v>
      </c>
      <c r="C67" s="0" t="str">
        <f aca="false">"351-362"</f>
        <v>351-362</v>
      </c>
      <c r="D67" s="0" t="s">
        <v>9</v>
      </c>
      <c r="E67" s="0" t="str">
        <f aca="false">"515-526"</f>
        <v>515-526</v>
      </c>
      <c r="F67" s="0" t="s">
        <v>2167</v>
      </c>
      <c r="G67" s="0" t="s">
        <v>9</v>
      </c>
      <c r="H67" s="0" t="str">
        <f aca="false">"127-138"</f>
        <v>127-138</v>
      </c>
      <c r="I67" s="0" t="s">
        <v>9</v>
      </c>
      <c r="J67" s="0" t="str">
        <f aca="false">"59-70"</f>
        <v>59-70</v>
      </c>
      <c r="K67" s="0" t="str">
        <f aca="false">"0.95"</f>
        <v>0.95</v>
      </c>
      <c r="L67" s="0" t="str">
        <f aca="false">"9.76"</f>
        <v>9.76</v>
      </c>
      <c r="M67" s="0" t="str">
        <f aca="false">"-4.8"</f>
        <v>-4.8</v>
      </c>
    </row>
    <row r="68" customFormat="false" ht="12.8" hidden="false" customHeight="false" outlineLevel="0" collapsed="false">
      <c r="A68" s="0" t="s">
        <v>2103</v>
      </c>
      <c r="B68" s="0" t="s">
        <v>9</v>
      </c>
      <c r="C68" s="0" t="str">
        <f aca="false">"354-365"</f>
        <v>354-365</v>
      </c>
      <c r="D68" s="0" t="s">
        <v>9</v>
      </c>
      <c r="E68" s="0" t="str">
        <f aca="false">"515-526"</f>
        <v>515-526</v>
      </c>
      <c r="F68" s="0" t="s">
        <v>2168</v>
      </c>
      <c r="G68" s="0" t="s">
        <v>9</v>
      </c>
      <c r="H68" s="0" t="str">
        <f aca="false">"564-575"</f>
        <v>564-575</v>
      </c>
      <c r="I68" s="0" t="s">
        <v>9</v>
      </c>
      <c r="J68" s="0" t="str">
        <f aca="false">"159-170"</f>
        <v>159-170</v>
      </c>
      <c r="K68" s="0" t="str">
        <f aca="false">"0.80"</f>
        <v>0.80</v>
      </c>
      <c r="L68" s="0" t="str">
        <f aca="false">"10.76"</f>
        <v>10.76</v>
      </c>
      <c r="M68" s="0" t="str">
        <f aca="false">"-17.4"</f>
        <v>-17.4</v>
      </c>
    </row>
    <row r="69" customFormat="false" ht="12.8" hidden="false" customHeight="false" outlineLevel="0" collapsed="false">
      <c r="A69" s="0" t="s">
        <v>2103</v>
      </c>
      <c r="B69" s="0" t="s">
        <v>9</v>
      </c>
      <c r="C69" s="0" t="str">
        <f aca="false">"351-362"</f>
        <v>351-362</v>
      </c>
      <c r="D69" s="0" t="s">
        <v>9</v>
      </c>
      <c r="E69" s="0" t="str">
        <f aca="false">"516-527"</f>
        <v>516-527</v>
      </c>
      <c r="F69" s="0" t="s">
        <v>2169</v>
      </c>
      <c r="G69" s="0" t="s">
        <v>120</v>
      </c>
      <c r="H69" s="0" t="str">
        <f aca="false">"659-670"</f>
        <v>659-670</v>
      </c>
      <c r="I69" s="0" t="s">
        <v>120</v>
      </c>
      <c r="J69" s="0" t="str">
        <f aca="false">"615-626"</f>
        <v>615-626</v>
      </c>
      <c r="K69" s="0" t="str">
        <f aca="false">"0.56"</f>
        <v>0.56</v>
      </c>
      <c r="L69" s="0" t="str">
        <f aca="false">"10.63"</f>
        <v>10.63</v>
      </c>
      <c r="M69" s="0" t="str">
        <f aca="false">"-9.9"</f>
        <v>-9.9</v>
      </c>
    </row>
    <row r="70" customFormat="false" ht="12.8" hidden="false" customHeight="false" outlineLevel="0" collapsed="false">
      <c r="A70" s="0" t="s">
        <v>2103</v>
      </c>
      <c r="B70" s="0" t="s">
        <v>9</v>
      </c>
      <c r="C70" s="0" t="str">
        <f aca="false">"355-366"</f>
        <v>355-366</v>
      </c>
      <c r="D70" s="0" t="s">
        <v>9</v>
      </c>
      <c r="E70" s="0" t="str">
        <f aca="false">"519-530"</f>
        <v>519-530</v>
      </c>
      <c r="F70" s="0" t="s">
        <v>2170</v>
      </c>
      <c r="G70" s="0" t="s">
        <v>9</v>
      </c>
      <c r="H70" s="0" t="str">
        <f aca="false">"216-227"</f>
        <v>216-227</v>
      </c>
      <c r="I70" s="0" t="s">
        <v>9</v>
      </c>
      <c r="J70" s="0" t="str">
        <f aca="false">"250-261"</f>
        <v>250-261</v>
      </c>
      <c r="K70" s="0" t="str">
        <f aca="false">"0.65"</f>
        <v>0.65</v>
      </c>
      <c r="L70" s="0" t="str">
        <f aca="false">"10.39"</f>
        <v>10.39</v>
      </c>
      <c r="M70" s="0" t="str">
        <f aca="false">"-21.5"</f>
        <v>-21.5</v>
      </c>
    </row>
    <row r="71" customFormat="false" ht="12.8" hidden="false" customHeight="false" outlineLevel="0" collapsed="false">
      <c r="A71" s="0" t="s">
        <v>2103</v>
      </c>
      <c r="B71" s="0" t="s">
        <v>9</v>
      </c>
      <c r="C71" s="0" t="str">
        <f aca="false">"358-369"</f>
        <v>358-369</v>
      </c>
      <c r="D71" s="0" t="s">
        <v>9</v>
      </c>
      <c r="E71" s="0" t="str">
        <f aca="false">"523-534"</f>
        <v>523-534</v>
      </c>
      <c r="F71" s="0" t="s">
        <v>2171</v>
      </c>
      <c r="G71" s="0" t="s">
        <v>9</v>
      </c>
      <c r="H71" s="0" t="str">
        <f aca="false">"331-342"</f>
        <v>331-342</v>
      </c>
      <c r="I71" s="0" t="s">
        <v>9</v>
      </c>
      <c r="J71" s="0" t="str">
        <f aca="false">"305-316"</f>
        <v>305-316</v>
      </c>
      <c r="K71" s="0" t="str">
        <f aca="false">"1.05"</f>
        <v>1.05</v>
      </c>
      <c r="L71" s="0" t="str">
        <f aca="false">"10.47"</f>
        <v>10.47</v>
      </c>
      <c r="M71" s="0" t="str">
        <f aca="false">"-20.9"</f>
        <v>-20.9</v>
      </c>
    </row>
    <row r="72" customFormat="false" ht="12.8" hidden="false" customHeight="false" outlineLevel="0" collapsed="false">
      <c r="A72" s="0" t="s">
        <v>2103</v>
      </c>
      <c r="B72" s="0" t="s">
        <v>9</v>
      </c>
      <c r="C72" s="0" t="str">
        <f aca="false">"358-369"</f>
        <v>358-369</v>
      </c>
      <c r="D72" s="0" t="s">
        <v>9</v>
      </c>
      <c r="E72" s="0" t="str">
        <f aca="false">"523-534"</f>
        <v>523-534</v>
      </c>
      <c r="F72" s="0" t="s">
        <v>2172</v>
      </c>
      <c r="G72" s="0" t="s">
        <v>9</v>
      </c>
      <c r="H72" s="0" t="str">
        <f aca="false">"46-57"</f>
        <v>46-57</v>
      </c>
      <c r="I72" s="0" t="s">
        <v>9</v>
      </c>
      <c r="J72" s="0" t="str">
        <f aca="false">"119-130"</f>
        <v>119-130</v>
      </c>
      <c r="K72" s="0" t="str">
        <f aca="false">"1.15"</f>
        <v>1.15</v>
      </c>
      <c r="L72" s="0" t="str">
        <f aca="false">"11.70"</f>
        <v>11.70</v>
      </c>
      <c r="M72" s="0" t="str">
        <f aca="false">"-19.9"</f>
        <v>-19.9</v>
      </c>
    </row>
    <row r="73" customFormat="false" ht="12.8" hidden="false" customHeight="false" outlineLevel="0" collapsed="false">
      <c r="A73" s="0" t="s">
        <v>2103</v>
      </c>
      <c r="B73" s="0" t="s">
        <v>9</v>
      </c>
      <c r="C73" s="0" t="str">
        <f aca="false">"354-365"</f>
        <v>354-365</v>
      </c>
      <c r="D73" s="0" t="s">
        <v>9</v>
      </c>
      <c r="E73" s="0" t="str">
        <f aca="false">"515-526"</f>
        <v>515-526</v>
      </c>
      <c r="F73" s="0" t="s">
        <v>2173</v>
      </c>
      <c r="G73" s="0" t="s">
        <v>9</v>
      </c>
      <c r="H73" s="0" t="str">
        <f aca="false">"82-93"</f>
        <v>82-93</v>
      </c>
      <c r="I73" s="0" t="s">
        <v>9</v>
      </c>
      <c r="J73" s="0" t="str">
        <f aca="false">"146-157"</f>
        <v>146-157</v>
      </c>
      <c r="K73" s="0" t="str">
        <f aca="false">"1.02"</f>
        <v>1.02</v>
      </c>
      <c r="L73" s="0" t="str">
        <f aca="false">"13.14"</f>
        <v>13.14</v>
      </c>
      <c r="M73" s="0" t="str">
        <f aca="false">"-17.8"</f>
        <v>-17.8</v>
      </c>
    </row>
    <row r="74" customFormat="false" ht="12.8" hidden="false" customHeight="false" outlineLevel="0" collapsed="false">
      <c r="A74" s="0" t="s">
        <v>2103</v>
      </c>
      <c r="B74" s="0" t="s">
        <v>9</v>
      </c>
      <c r="C74" s="0" t="str">
        <f aca="false">"354-365"</f>
        <v>354-365</v>
      </c>
      <c r="D74" s="0" t="s">
        <v>9</v>
      </c>
      <c r="E74" s="0" t="str">
        <f aca="false">"515-526"</f>
        <v>515-526</v>
      </c>
      <c r="F74" s="0" t="s">
        <v>2174</v>
      </c>
      <c r="G74" s="0" t="s">
        <v>13</v>
      </c>
      <c r="H74" s="0" t="str">
        <f aca="false">"176-187"</f>
        <v>176-187</v>
      </c>
      <c r="I74" s="0" t="s">
        <v>13</v>
      </c>
      <c r="J74" s="0" t="str">
        <f aca="false">"212-223"</f>
        <v>212-223</v>
      </c>
      <c r="K74" s="0" t="str">
        <f aca="false">"1.02"</f>
        <v>1.02</v>
      </c>
      <c r="L74" s="0" t="str">
        <f aca="false">"11.92"</f>
        <v>11.92</v>
      </c>
      <c r="M74" s="0" t="str">
        <f aca="false">"-26.4"</f>
        <v>-26.4</v>
      </c>
    </row>
    <row r="75" customFormat="false" ht="12.8" hidden="false" customHeight="false" outlineLevel="0" collapsed="false">
      <c r="A75" s="0" t="s">
        <v>2103</v>
      </c>
      <c r="B75" s="0" t="s">
        <v>9</v>
      </c>
      <c r="C75" s="0" t="str">
        <f aca="false">"354-365"</f>
        <v>354-365</v>
      </c>
      <c r="D75" s="0" t="s">
        <v>9</v>
      </c>
      <c r="E75" s="0" t="str">
        <f aca="false">"516-527"</f>
        <v>516-527</v>
      </c>
      <c r="F75" s="0" t="s">
        <v>2175</v>
      </c>
      <c r="G75" s="0" t="s">
        <v>9</v>
      </c>
      <c r="H75" s="0" t="str">
        <f aca="false">"234-245"</f>
        <v>234-245</v>
      </c>
      <c r="I75" s="0" t="s">
        <v>9</v>
      </c>
      <c r="J75" s="0" t="str">
        <f aca="false">"201-212"</f>
        <v>201-212</v>
      </c>
      <c r="K75" s="0" t="str">
        <f aca="false">"0.79"</f>
        <v>0.79</v>
      </c>
      <c r="L75" s="0" t="str">
        <f aca="false">"11.85"</f>
        <v>11.85</v>
      </c>
      <c r="M75" s="0" t="str">
        <f aca="false">"-12.7"</f>
        <v>-12.7</v>
      </c>
    </row>
    <row r="76" customFormat="false" ht="12.8" hidden="false" customHeight="false" outlineLevel="0" collapsed="false">
      <c r="A76" s="0" t="s">
        <v>2103</v>
      </c>
      <c r="B76" s="0" t="s">
        <v>9</v>
      </c>
      <c r="C76" s="0" t="str">
        <f aca="false">"351-362"</f>
        <v>351-362</v>
      </c>
      <c r="D76" s="0" t="s">
        <v>9</v>
      </c>
      <c r="E76" s="0" t="str">
        <f aca="false">"515-526"</f>
        <v>515-526</v>
      </c>
      <c r="F76" s="0" t="s">
        <v>2176</v>
      </c>
      <c r="G76" s="0" t="s">
        <v>9</v>
      </c>
      <c r="H76" s="0" t="str">
        <f aca="false">"133-144"</f>
        <v>133-144</v>
      </c>
      <c r="I76" s="0" t="s">
        <v>9</v>
      </c>
      <c r="J76" s="0" t="str">
        <f aca="false">"242-253"</f>
        <v>242-253</v>
      </c>
      <c r="K76" s="0" t="str">
        <f aca="false">"0.98"</f>
        <v>0.98</v>
      </c>
      <c r="L76" s="0" t="str">
        <f aca="false">"11.60"</f>
        <v>11.60</v>
      </c>
      <c r="M76" s="0" t="str">
        <f aca="false">"1.7"</f>
        <v>1.7</v>
      </c>
    </row>
    <row r="77" customFormat="false" ht="12.8" hidden="false" customHeight="false" outlineLevel="0" collapsed="false">
      <c r="A77" s="0" t="s">
        <v>2103</v>
      </c>
      <c r="B77" s="0" t="s">
        <v>9</v>
      </c>
      <c r="C77" s="0" t="str">
        <f aca="false">"351-362"</f>
        <v>351-362</v>
      </c>
      <c r="D77" s="0" t="s">
        <v>9</v>
      </c>
      <c r="E77" s="0" t="str">
        <f aca="false">"515-526"</f>
        <v>515-526</v>
      </c>
      <c r="F77" s="0" t="s">
        <v>2177</v>
      </c>
      <c r="G77" s="0" t="s">
        <v>9</v>
      </c>
      <c r="H77" s="0" t="str">
        <f aca="false">"166-177"</f>
        <v>166-177</v>
      </c>
      <c r="I77" s="0" t="s">
        <v>9</v>
      </c>
      <c r="J77" s="0" t="str">
        <f aca="false">"201-212"</f>
        <v>201-212</v>
      </c>
      <c r="K77" s="0" t="str">
        <f aca="false">"0.83"</f>
        <v>0.83</v>
      </c>
      <c r="L77" s="0" t="str">
        <f aca="false">"11.38"</f>
        <v>11.38</v>
      </c>
      <c r="M77" s="0" t="str">
        <f aca="false">"-16.2"</f>
        <v>-16.2</v>
      </c>
    </row>
    <row r="78" customFormat="false" ht="12.8" hidden="false" customHeight="false" outlineLevel="0" collapsed="false">
      <c r="A78" s="0" t="s">
        <v>2103</v>
      </c>
      <c r="B78" s="0" t="s">
        <v>9</v>
      </c>
      <c r="C78" s="0" t="str">
        <f aca="false">"351-362"</f>
        <v>351-362</v>
      </c>
      <c r="D78" s="0" t="s">
        <v>9</v>
      </c>
      <c r="E78" s="0" t="str">
        <f aca="false">"515-526"</f>
        <v>515-526</v>
      </c>
      <c r="F78" s="0" t="s">
        <v>2178</v>
      </c>
      <c r="G78" s="0" t="s">
        <v>9</v>
      </c>
      <c r="H78" s="0" t="str">
        <f aca="false">"131-142"</f>
        <v>131-142</v>
      </c>
      <c r="I78" s="0" t="s">
        <v>9</v>
      </c>
      <c r="J78" s="0" t="str">
        <f aca="false">"167-178"</f>
        <v>167-178</v>
      </c>
      <c r="K78" s="0" t="str">
        <f aca="false">"0.99"</f>
        <v>0.99</v>
      </c>
      <c r="L78" s="0" t="str">
        <f aca="false">"11.61"</f>
        <v>11.61</v>
      </c>
      <c r="M78" s="0" t="str">
        <f aca="false">"-17.2"</f>
        <v>-17.2</v>
      </c>
    </row>
    <row r="79" customFormat="false" ht="12.8" hidden="false" customHeight="false" outlineLevel="0" collapsed="false">
      <c r="A79" s="0" t="s">
        <v>2103</v>
      </c>
      <c r="B79" s="0" t="s">
        <v>9</v>
      </c>
      <c r="C79" s="0" t="str">
        <f aca="false">"355-366"</f>
        <v>355-366</v>
      </c>
      <c r="D79" s="0" t="s">
        <v>9</v>
      </c>
      <c r="E79" s="0" t="str">
        <f aca="false">"519-530"</f>
        <v>519-530</v>
      </c>
      <c r="F79" s="0" t="s">
        <v>2179</v>
      </c>
      <c r="G79" s="0" t="s">
        <v>120</v>
      </c>
      <c r="H79" s="0" t="str">
        <f aca="false">"720-731"</f>
        <v>720-731</v>
      </c>
      <c r="I79" s="0" t="s">
        <v>120</v>
      </c>
      <c r="J79" s="0" t="str">
        <f aca="false">"758-769"</f>
        <v>758-769</v>
      </c>
      <c r="K79" s="0" t="str">
        <f aca="false">"0.97"</f>
        <v>0.97</v>
      </c>
      <c r="L79" s="0" t="str">
        <f aca="false">"10.78"</f>
        <v>10.78</v>
      </c>
      <c r="M79" s="0" t="str">
        <f aca="false">"-11.7"</f>
        <v>-11.7</v>
      </c>
    </row>
    <row r="80" customFormat="false" ht="12.8" hidden="false" customHeight="false" outlineLevel="0" collapsed="false">
      <c r="A80" s="0" t="s">
        <v>2103</v>
      </c>
      <c r="B80" s="0" t="s">
        <v>9</v>
      </c>
      <c r="C80" s="0" t="str">
        <f aca="false">"355-366"</f>
        <v>355-366</v>
      </c>
      <c r="D80" s="0" t="s">
        <v>9</v>
      </c>
      <c r="E80" s="0" t="str">
        <f aca="false">"519-530"</f>
        <v>519-530</v>
      </c>
      <c r="F80" s="0" t="s">
        <v>2180</v>
      </c>
      <c r="G80" s="0" t="s">
        <v>9</v>
      </c>
      <c r="H80" s="0" t="str">
        <f aca="false">"378-389"</f>
        <v>378-389</v>
      </c>
      <c r="I80" s="0" t="s">
        <v>9</v>
      </c>
      <c r="J80" s="0" t="str">
        <f aca="false">"413-424"</f>
        <v>413-424</v>
      </c>
      <c r="K80" s="0" t="str">
        <f aca="false">"1.09"</f>
        <v>1.09</v>
      </c>
      <c r="L80" s="0" t="str">
        <f aca="false">"11.87"</f>
        <v>11.87</v>
      </c>
      <c r="M80" s="0" t="str">
        <f aca="false">"-14.2"</f>
        <v>-14.2</v>
      </c>
    </row>
    <row r="81" customFormat="false" ht="12.8" hidden="false" customHeight="false" outlineLevel="0" collapsed="false">
      <c r="A81" s="0" t="s">
        <v>2103</v>
      </c>
      <c r="B81" s="0" t="s">
        <v>9</v>
      </c>
      <c r="C81" s="0" t="str">
        <f aca="false">"358-369"</f>
        <v>358-369</v>
      </c>
      <c r="D81" s="0" t="s">
        <v>9</v>
      </c>
      <c r="E81" s="0" t="str">
        <f aca="false">"522-533"</f>
        <v>522-533</v>
      </c>
      <c r="F81" s="0" t="s">
        <v>2181</v>
      </c>
      <c r="G81" s="0" t="s">
        <v>13</v>
      </c>
      <c r="H81" s="0" t="str">
        <f aca="false">"223-234"</f>
        <v>223-234</v>
      </c>
      <c r="I81" s="0" t="s">
        <v>13</v>
      </c>
      <c r="J81" s="0" t="str">
        <f aca="false">"163-174"</f>
        <v>163-174</v>
      </c>
      <c r="K81" s="0" t="str">
        <f aca="false">"0.94"</f>
        <v>0.94</v>
      </c>
      <c r="L81" s="0" t="str">
        <f aca="false">"10.81"</f>
        <v>10.81</v>
      </c>
      <c r="M81" s="0" t="str">
        <f aca="false">"-34.4"</f>
        <v>-34.4</v>
      </c>
    </row>
    <row r="82" customFormat="false" ht="12.8" hidden="false" customHeight="false" outlineLevel="0" collapsed="false">
      <c r="A82" s="0" t="s">
        <v>2103</v>
      </c>
      <c r="B82" s="0" t="s">
        <v>9</v>
      </c>
      <c r="C82" s="0" t="str">
        <f aca="false">"350-361"</f>
        <v>350-361</v>
      </c>
      <c r="D82" s="0" t="s">
        <v>9</v>
      </c>
      <c r="E82" s="0" t="str">
        <f aca="false">"516-527"</f>
        <v>516-527</v>
      </c>
      <c r="F82" s="0" t="s">
        <v>2182</v>
      </c>
      <c r="G82" s="0" t="s">
        <v>9</v>
      </c>
      <c r="H82" s="0" t="str">
        <f aca="false">"738-749"</f>
        <v>738-749</v>
      </c>
      <c r="I82" s="0" t="s">
        <v>9</v>
      </c>
      <c r="J82" s="0" t="str">
        <f aca="false">"639-650"</f>
        <v>639-650</v>
      </c>
      <c r="K82" s="0" t="str">
        <f aca="false">"1.02"</f>
        <v>1.02</v>
      </c>
      <c r="L82" s="0" t="str">
        <f aca="false">"12.42"</f>
        <v>12.42</v>
      </c>
      <c r="M82" s="0" t="str">
        <f aca="false">"-22.4"</f>
        <v>-22.4</v>
      </c>
    </row>
    <row r="83" customFormat="false" ht="12.8" hidden="false" customHeight="false" outlineLevel="0" collapsed="false">
      <c r="A83" s="0" t="s">
        <v>2103</v>
      </c>
      <c r="B83" s="0" t="s">
        <v>9</v>
      </c>
      <c r="C83" s="0" t="str">
        <f aca="false">"352-363"</f>
        <v>352-363</v>
      </c>
      <c r="D83" s="0" t="s">
        <v>9</v>
      </c>
      <c r="E83" s="0" t="str">
        <f aca="false">"516-527"</f>
        <v>516-527</v>
      </c>
      <c r="F83" s="0" t="s">
        <v>2183</v>
      </c>
      <c r="G83" s="0" t="s">
        <v>13</v>
      </c>
      <c r="H83" s="0" t="str">
        <f aca="false">"420-431"</f>
        <v>420-431</v>
      </c>
      <c r="I83" s="0" t="s">
        <v>9</v>
      </c>
      <c r="J83" s="0" t="str">
        <f aca="false">"280-291"</f>
        <v>280-291</v>
      </c>
      <c r="K83" s="0" t="str">
        <f aca="false">"1.22"</f>
        <v>1.22</v>
      </c>
      <c r="L83" s="0" t="str">
        <f aca="false">"12.38"</f>
        <v>12.38</v>
      </c>
      <c r="M83" s="0" t="str">
        <f aca="false">"-19.4"</f>
        <v>-19.4</v>
      </c>
    </row>
    <row r="84" customFormat="false" ht="12.8" hidden="false" customHeight="false" outlineLevel="0" collapsed="false">
      <c r="A84" s="0" t="s">
        <v>2103</v>
      </c>
      <c r="B84" s="0" t="s">
        <v>9</v>
      </c>
      <c r="C84" s="0" t="str">
        <f aca="false">"356-367"</f>
        <v>356-367</v>
      </c>
      <c r="D84" s="0" t="s">
        <v>9</v>
      </c>
      <c r="E84" s="0" t="str">
        <f aca="false">"522-533"</f>
        <v>522-533</v>
      </c>
      <c r="F84" s="0" t="s">
        <v>2184</v>
      </c>
      <c r="G84" s="0" t="s">
        <v>9</v>
      </c>
      <c r="H84" s="0" t="str">
        <f aca="false">"742-753"</f>
        <v>742-753</v>
      </c>
      <c r="I84" s="0" t="s">
        <v>9</v>
      </c>
      <c r="J84" s="0" t="str">
        <f aca="false">"777-788"</f>
        <v>777-788</v>
      </c>
      <c r="K84" s="0" t="str">
        <f aca="false">"1.10"</f>
        <v>1.10</v>
      </c>
      <c r="L84" s="0" t="str">
        <f aca="false">"10.50"</f>
        <v>10.50</v>
      </c>
      <c r="M84" s="0" t="str">
        <f aca="false">"-28.5"</f>
        <v>-28.5</v>
      </c>
    </row>
    <row r="85" customFormat="false" ht="12.8" hidden="false" customHeight="false" outlineLevel="0" collapsed="false">
      <c r="A85" s="0" t="s">
        <v>2103</v>
      </c>
      <c r="B85" s="0" t="s">
        <v>9</v>
      </c>
      <c r="C85" s="0" t="str">
        <f aca="false">"353-364"</f>
        <v>353-364</v>
      </c>
      <c r="D85" s="0" t="s">
        <v>9</v>
      </c>
      <c r="E85" s="0" t="str">
        <f aca="false">"516-527"</f>
        <v>516-527</v>
      </c>
      <c r="F85" s="0" t="s">
        <v>2185</v>
      </c>
      <c r="G85" s="0" t="s">
        <v>9</v>
      </c>
      <c r="H85" s="0" t="str">
        <f aca="false">"134-145"</f>
        <v>134-145</v>
      </c>
      <c r="I85" s="0" t="s">
        <v>9</v>
      </c>
      <c r="J85" s="0" t="str">
        <f aca="false">"59-70"</f>
        <v>59-70</v>
      </c>
      <c r="K85" s="0" t="str">
        <f aca="false">"0.96"</f>
        <v>0.96</v>
      </c>
      <c r="L85" s="0" t="str">
        <f aca="false">"10.00"</f>
        <v>10.00</v>
      </c>
      <c r="M85" s="0" t="str">
        <f aca="false">"-11.9"</f>
        <v>-11.9</v>
      </c>
    </row>
    <row r="86" customFormat="false" ht="12.8" hidden="false" customHeight="false" outlineLevel="0" collapsed="false">
      <c r="A86" s="0" t="s">
        <v>2103</v>
      </c>
      <c r="B86" s="0" t="s">
        <v>9</v>
      </c>
      <c r="C86" s="0" t="str">
        <f aca="false">"355-366"</f>
        <v>355-366</v>
      </c>
      <c r="D86" s="0" t="s">
        <v>9</v>
      </c>
      <c r="E86" s="0" t="str">
        <f aca="false">"519-530"</f>
        <v>519-530</v>
      </c>
      <c r="F86" s="0" t="s">
        <v>2186</v>
      </c>
      <c r="G86" s="0" t="s">
        <v>24</v>
      </c>
      <c r="H86" s="0" t="str">
        <f aca="false">"64-75"</f>
        <v>64-75</v>
      </c>
      <c r="I86" s="0" t="s">
        <v>71</v>
      </c>
      <c r="J86" s="0" t="str">
        <f aca="false">"66-77"</f>
        <v>66-77</v>
      </c>
      <c r="K86" s="0" t="str">
        <f aca="false">"0.96"</f>
        <v>0.96</v>
      </c>
      <c r="L86" s="0" t="str">
        <f aca="false">"12.10"</f>
        <v>12.10</v>
      </c>
      <c r="M86" s="0" t="str">
        <f aca="false">"-18.6"</f>
        <v>-18.6</v>
      </c>
    </row>
    <row r="87" customFormat="false" ht="12.8" hidden="false" customHeight="false" outlineLevel="0" collapsed="false">
      <c r="A87" s="0" t="s">
        <v>2103</v>
      </c>
      <c r="B87" s="0" t="s">
        <v>9</v>
      </c>
      <c r="C87" s="0" t="str">
        <f aca="false">"351-362"</f>
        <v>351-362</v>
      </c>
      <c r="D87" s="0" t="s">
        <v>9</v>
      </c>
      <c r="E87" s="0" t="str">
        <f aca="false">"516-527"</f>
        <v>516-527</v>
      </c>
      <c r="F87" s="0" t="s">
        <v>2187</v>
      </c>
      <c r="G87" s="0" t="s">
        <v>9</v>
      </c>
      <c r="H87" s="0" t="str">
        <f aca="false">"200-211"</f>
        <v>200-211</v>
      </c>
      <c r="I87" s="0" t="s">
        <v>9</v>
      </c>
      <c r="J87" s="0" t="str">
        <f aca="false">"3-14"</f>
        <v>3-14</v>
      </c>
      <c r="K87" s="0" t="str">
        <f aca="false">"1.21"</f>
        <v>1.21</v>
      </c>
      <c r="L87" s="0" t="str">
        <f aca="false">"11.47"</f>
        <v>11.47</v>
      </c>
      <c r="M87" s="0" t="str">
        <f aca="false">"-14.3"</f>
        <v>-14.3</v>
      </c>
    </row>
    <row r="88" customFormat="false" ht="12.8" hidden="false" customHeight="false" outlineLevel="0" collapsed="false">
      <c r="A88" s="0" t="s">
        <v>2103</v>
      </c>
      <c r="B88" s="0" t="s">
        <v>9</v>
      </c>
      <c r="C88" s="0" t="str">
        <f aca="false">"355-366"</f>
        <v>355-366</v>
      </c>
      <c r="D88" s="0" t="s">
        <v>9</v>
      </c>
      <c r="E88" s="0" t="str">
        <f aca="false">"513-524"</f>
        <v>513-524</v>
      </c>
      <c r="F88" s="0" t="s">
        <v>2188</v>
      </c>
      <c r="G88" s="0" t="s">
        <v>13</v>
      </c>
      <c r="H88" s="0" t="str">
        <f aca="false">"102-113"</f>
        <v>102-113</v>
      </c>
      <c r="I88" s="0" t="s">
        <v>13</v>
      </c>
      <c r="J88" s="0" t="str">
        <f aca="false">"280-291"</f>
        <v>280-291</v>
      </c>
      <c r="K88" s="0" t="str">
        <f aca="false">"0.78"</f>
        <v>0.78</v>
      </c>
      <c r="L88" s="0" t="str">
        <f aca="false">"13.17"</f>
        <v>13.17</v>
      </c>
      <c r="M88" s="0" t="str">
        <f aca="false">"-24.3"</f>
        <v>-24.3</v>
      </c>
    </row>
    <row r="89" customFormat="false" ht="12.8" hidden="false" customHeight="false" outlineLevel="0" collapsed="false">
      <c r="A89" s="0" t="s">
        <v>2103</v>
      </c>
      <c r="B89" s="0" t="s">
        <v>9</v>
      </c>
      <c r="C89" s="0" t="str">
        <f aca="false">"354-365"</f>
        <v>354-365</v>
      </c>
      <c r="D89" s="0" t="s">
        <v>9</v>
      </c>
      <c r="E89" s="0" t="str">
        <f aca="false">"516-527"</f>
        <v>516-527</v>
      </c>
      <c r="F89" s="0" t="s">
        <v>2189</v>
      </c>
      <c r="G89" s="0" t="s">
        <v>120</v>
      </c>
      <c r="H89" s="0" t="str">
        <f aca="false">"737-748"</f>
        <v>737-748</v>
      </c>
      <c r="I89" s="0" t="s">
        <v>120</v>
      </c>
      <c r="J89" s="0" t="str">
        <f aca="false">"700-711"</f>
        <v>700-711</v>
      </c>
      <c r="K89" s="0" t="str">
        <f aca="false">"1.01"</f>
        <v>1.01</v>
      </c>
      <c r="L89" s="0" t="str">
        <f aca="false">"10.30"</f>
        <v>10.30</v>
      </c>
      <c r="M89" s="0" t="str">
        <f aca="false">"6.4"</f>
        <v>6.4</v>
      </c>
    </row>
    <row r="90" customFormat="false" ht="12.8" hidden="false" customHeight="false" outlineLevel="0" collapsed="false">
      <c r="A90" s="0" t="s">
        <v>2103</v>
      </c>
      <c r="B90" s="0" t="s">
        <v>9</v>
      </c>
      <c r="C90" s="0" t="str">
        <f aca="false">"354-365"</f>
        <v>354-365</v>
      </c>
      <c r="D90" s="0" t="s">
        <v>9</v>
      </c>
      <c r="E90" s="0" t="str">
        <f aca="false">"517-528"</f>
        <v>517-528</v>
      </c>
      <c r="F90" s="0" t="s">
        <v>2190</v>
      </c>
      <c r="G90" s="0" t="s">
        <v>13</v>
      </c>
      <c r="H90" s="0" t="str">
        <f aca="false">"846-857"</f>
        <v>846-857</v>
      </c>
      <c r="I90" s="0" t="s">
        <v>13</v>
      </c>
      <c r="J90" s="0" t="str">
        <f aca="false">"886-897"</f>
        <v>886-897</v>
      </c>
      <c r="K90" s="0" t="str">
        <f aca="false">"1.17"</f>
        <v>1.17</v>
      </c>
      <c r="L90" s="0" t="str">
        <f aca="false">"12.19"</f>
        <v>12.19</v>
      </c>
      <c r="M90" s="0" t="str">
        <f aca="false">"-13.4"</f>
        <v>-13.4</v>
      </c>
    </row>
    <row r="91" customFormat="false" ht="12.8" hidden="false" customHeight="false" outlineLevel="0" collapsed="false">
      <c r="A91" s="0" t="s">
        <v>2103</v>
      </c>
      <c r="B91" s="0" t="s">
        <v>9</v>
      </c>
      <c r="C91" s="0" t="str">
        <f aca="false">"354-365"</f>
        <v>354-365</v>
      </c>
      <c r="D91" s="0" t="s">
        <v>9</v>
      </c>
      <c r="E91" s="0" t="str">
        <f aca="false">"516-527"</f>
        <v>516-527</v>
      </c>
      <c r="F91" s="0" t="s">
        <v>2191</v>
      </c>
      <c r="G91" s="0" t="s">
        <v>9</v>
      </c>
      <c r="H91" s="0" t="str">
        <f aca="false">"920-931"</f>
        <v>920-931</v>
      </c>
      <c r="I91" s="0" t="s">
        <v>9</v>
      </c>
      <c r="J91" s="0" t="str">
        <f aca="false">"885-896"</f>
        <v>885-896</v>
      </c>
      <c r="K91" s="0" t="str">
        <f aca="false">"0.96"</f>
        <v>0.96</v>
      </c>
      <c r="L91" s="0" t="str">
        <f aca="false">"10.06"</f>
        <v>10.06</v>
      </c>
      <c r="M91" s="0" t="str">
        <f aca="false">"-14.3"</f>
        <v>-14.3</v>
      </c>
    </row>
    <row r="92" customFormat="false" ht="12.8" hidden="false" customHeight="false" outlineLevel="0" collapsed="false">
      <c r="A92" s="0" t="s">
        <v>2103</v>
      </c>
      <c r="B92" s="0" t="s">
        <v>9</v>
      </c>
      <c r="C92" s="0" t="str">
        <f aca="false">"353-364"</f>
        <v>353-364</v>
      </c>
      <c r="D92" s="0" t="s">
        <v>9</v>
      </c>
      <c r="E92" s="0" t="str">
        <f aca="false">"516-527"</f>
        <v>516-527</v>
      </c>
      <c r="F92" s="0" t="s">
        <v>2192</v>
      </c>
      <c r="G92" s="0" t="s">
        <v>9</v>
      </c>
      <c r="H92" s="0" t="str">
        <f aca="false">"309-320"</f>
        <v>309-320</v>
      </c>
      <c r="I92" s="0" t="s">
        <v>9</v>
      </c>
      <c r="J92" s="0" t="str">
        <f aca="false">"274-285"</f>
        <v>274-285</v>
      </c>
      <c r="K92" s="0" t="str">
        <f aca="false">"1.01"</f>
        <v>1.01</v>
      </c>
      <c r="L92" s="0" t="str">
        <f aca="false">"11.58"</f>
        <v>11.58</v>
      </c>
      <c r="M92" s="0" t="str">
        <f aca="false">"-11.9"</f>
        <v>-11.9</v>
      </c>
    </row>
    <row r="93" customFormat="false" ht="12.8" hidden="false" customHeight="false" outlineLevel="0" collapsed="false">
      <c r="A93" s="0" t="s">
        <v>2103</v>
      </c>
      <c r="B93" s="0" t="s">
        <v>9</v>
      </c>
      <c r="C93" s="0" t="str">
        <f aca="false">"358-369"</f>
        <v>358-369</v>
      </c>
      <c r="D93" s="0" t="s">
        <v>9</v>
      </c>
      <c r="E93" s="0" t="str">
        <f aca="false">"522-533"</f>
        <v>522-533</v>
      </c>
      <c r="F93" s="0" t="s">
        <v>2193</v>
      </c>
      <c r="G93" s="0" t="s">
        <v>9</v>
      </c>
      <c r="H93" s="0" t="str">
        <f aca="false">"219-230"</f>
        <v>219-230</v>
      </c>
      <c r="I93" s="0" t="s">
        <v>9</v>
      </c>
      <c r="J93" s="0" t="str">
        <f aca="false">"247-258"</f>
        <v>247-258</v>
      </c>
      <c r="K93" s="0" t="str">
        <f aca="false">"0.89"</f>
        <v>0.89</v>
      </c>
      <c r="L93" s="0" t="str">
        <f aca="false">"10.38"</f>
        <v>10.38</v>
      </c>
      <c r="M93" s="0" t="str">
        <f aca="false">"-12.9"</f>
        <v>-12.9</v>
      </c>
    </row>
    <row r="94" customFormat="false" ht="12.8" hidden="false" customHeight="false" outlineLevel="0" collapsed="false">
      <c r="A94" s="0" t="s">
        <v>2103</v>
      </c>
      <c r="B94" s="0" t="s">
        <v>9</v>
      </c>
      <c r="C94" s="0" t="str">
        <f aca="false">"359-370"</f>
        <v>359-370</v>
      </c>
      <c r="D94" s="0" t="s">
        <v>9</v>
      </c>
      <c r="E94" s="0" t="str">
        <f aca="false">"521-532"</f>
        <v>521-532</v>
      </c>
      <c r="F94" s="0" t="s">
        <v>2194</v>
      </c>
      <c r="G94" s="0" t="s">
        <v>70</v>
      </c>
      <c r="H94" s="0" t="str">
        <f aca="false">"53-64"</f>
        <v>53-64</v>
      </c>
      <c r="I94" s="0" t="s">
        <v>70</v>
      </c>
      <c r="J94" s="0" t="str">
        <f aca="false">"10-21"</f>
        <v>10-21</v>
      </c>
      <c r="K94" s="0" t="str">
        <f aca="false">"0.84"</f>
        <v>0.84</v>
      </c>
      <c r="L94" s="0" t="str">
        <f aca="false">"10.18"</f>
        <v>10.18</v>
      </c>
      <c r="M94" s="0" t="str">
        <f aca="false">"-15.6"</f>
        <v>-15.6</v>
      </c>
    </row>
    <row r="95" customFormat="false" ht="12.8" hidden="false" customHeight="false" outlineLevel="0" collapsed="false">
      <c r="A95" s="0" t="s">
        <v>2103</v>
      </c>
      <c r="B95" s="0" t="s">
        <v>9</v>
      </c>
      <c r="C95" s="0" t="str">
        <f aca="false">"350-361"</f>
        <v>350-361</v>
      </c>
      <c r="D95" s="0" t="s">
        <v>9</v>
      </c>
      <c r="E95" s="0" t="str">
        <f aca="false">"516-527"</f>
        <v>516-527</v>
      </c>
      <c r="F95" s="0" t="s">
        <v>2195</v>
      </c>
      <c r="G95" s="0" t="s">
        <v>120</v>
      </c>
      <c r="H95" s="0" t="str">
        <f aca="false">"229-240"</f>
        <v>229-240</v>
      </c>
      <c r="I95" s="0" t="s">
        <v>120</v>
      </c>
      <c r="J95" s="0" t="str">
        <f aca="false">"281-292"</f>
        <v>281-292</v>
      </c>
      <c r="K95" s="0" t="str">
        <f aca="false">"1.22"</f>
        <v>1.22</v>
      </c>
      <c r="L95" s="0" t="str">
        <f aca="false">"11.02"</f>
        <v>11.02</v>
      </c>
      <c r="M95" s="0" t="str">
        <f aca="false">"-4.1"</f>
        <v>-4.1</v>
      </c>
    </row>
    <row r="96" customFormat="false" ht="12.8" hidden="false" customHeight="false" outlineLevel="0" collapsed="false">
      <c r="A96" s="0" t="s">
        <v>2103</v>
      </c>
      <c r="B96" s="0" t="s">
        <v>9</v>
      </c>
      <c r="C96" s="0" t="str">
        <f aca="false">"351-362"</f>
        <v>351-362</v>
      </c>
      <c r="D96" s="0" t="s">
        <v>9</v>
      </c>
      <c r="E96" s="0" t="str">
        <f aca="false">"519-530"</f>
        <v>519-530</v>
      </c>
      <c r="F96" s="0" t="s">
        <v>2196</v>
      </c>
      <c r="G96" s="0" t="s">
        <v>9</v>
      </c>
      <c r="H96" s="0" t="str">
        <f aca="false">"567-578"</f>
        <v>567-578</v>
      </c>
      <c r="I96" s="0" t="s">
        <v>9</v>
      </c>
      <c r="J96" s="0" t="str">
        <f aca="false">"596-607"</f>
        <v>596-607</v>
      </c>
      <c r="K96" s="0" t="str">
        <f aca="false">"0.86"</f>
        <v>0.86</v>
      </c>
      <c r="L96" s="0" t="str">
        <f aca="false">"13.36"</f>
        <v>13.36</v>
      </c>
      <c r="M96" s="0" t="str">
        <f aca="false">"-26.8"</f>
        <v>-26.8</v>
      </c>
    </row>
    <row r="97" customFormat="false" ht="12.8" hidden="false" customHeight="false" outlineLevel="0" collapsed="false">
      <c r="A97" s="0" t="s">
        <v>2103</v>
      </c>
      <c r="B97" s="0" t="s">
        <v>9</v>
      </c>
      <c r="C97" s="0" t="str">
        <f aca="false">"359-370"</f>
        <v>359-370</v>
      </c>
      <c r="D97" s="0" t="s">
        <v>9</v>
      </c>
      <c r="E97" s="0" t="str">
        <f aca="false">"520-531"</f>
        <v>520-531</v>
      </c>
      <c r="F97" s="0" t="s">
        <v>2197</v>
      </c>
      <c r="G97" s="0" t="s">
        <v>9</v>
      </c>
      <c r="H97" s="0" t="str">
        <f aca="false">"255-266"</f>
        <v>255-266</v>
      </c>
      <c r="I97" s="0" t="s">
        <v>9</v>
      </c>
      <c r="J97" s="0" t="str">
        <f aca="false">"210-221"</f>
        <v>210-221</v>
      </c>
      <c r="K97" s="0" t="str">
        <f aca="false">"0.71"</f>
        <v>0.71</v>
      </c>
      <c r="L97" s="0" t="str">
        <f aca="false">"10.88"</f>
        <v>10.88</v>
      </c>
      <c r="M97" s="0" t="str">
        <f aca="false">"-22.1"</f>
        <v>-22.1</v>
      </c>
    </row>
    <row r="98" customFormat="false" ht="12.8" hidden="false" customHeight="false" outlineLevel="0" collapsed="false">
      <c r="A98" s="0" t="s">
        <v>2103</v>
      </c>
      <c r="B98" s="0" t="s">
        <v>9</v>
      </c>
      <c r="C98" s="0" t="str">
        <f aca="false">"356-367"</f>
        <v>356-367</v>
      </c>
      <c r="D98" s="0" t="s">
        <v>9</v>
      </c>
      <c r="E98" s="0" t="str">
        <f aca="false">"521-532"</f>
        <v>521-532</v>
      </c>
      <c r="F98" s="0" t="s">
        <v>2198</v>
      </c>
      <c r="G98" s="0" t="s">
        <v>13</v>
      </c>
      <c r="H98" s="0" t="str">
        <f aca="false">"803-814"</f>
        <v>803-814</v>
      </c>
      <c r="I98" s="0" t="s">
        <v>13</v>
      </c>
      <c r="J98" s="0" t="str">
        <f aca="false">"770-781"</f>
        <v>770-781</v>
      </c>
      <c r="K98" s="0" t="str">
        <f aca="false">"0.67"</f>
        <v>0.67</v>
      </c>
      <c r="L98" s="0" t="str">
        <f aca="false">"10.51"</f>
        <v>10.51</v>
      </c>
      <c r="M98" s="0" t="str">
        <f aca="false">"-32.1"</f>
        <v>-32.1</v>
      </c>
    </row>
    <row r="99" customFormat="false" ht="12.8" hidden="false" customHeight="false" outlineLevel="0" collapsed="false">
      <c r="A99" s="0" t="s">
        <v>2103</v>
      </c>
      <c r="B99" s="0" t="s">
        <v>9</v>
      </c>
      <c r="C99" s="0" t="str">
        <f aca="false">"354-365"</f>
        <v>354-365</v>
      </c>
      <c r="D99" s="0" t="s">
        <v>9</v>
      </c>
      <c r="E99" s="0" t="str">
        <f aca="false">"513-524"</f>
        <v>513-524</v>
      </c>
      <c r="F99" s="0" t="s">
        <v>2199</v>
      </c>
      <c r="G99" s="0" t="s">
        <v>13</v>
      </c>
      <c r="H99" s="0" t="str">
        <f aca="false">"271-282"</f>
        <v>271-282</v>
      </c>
      <c r="I99" s="0" t="s">
        <v>13</v>
      </c>
      <c r="J99" s="0" t="str">
        <f aca="false">"130-141"</f>
        <v>130-141</v>
      </c>
      <c r="K99" s="0" t="str">
        <f aca="false">"1.18"</f>
        <v>1.18</v>
      </c>
      <c r="L99" s="0" t="str">
        <f aca="false">"13.83"</f>
        <v>13.83</v>
      </c>
      <c r="M99" s="0" t="str">
        <f aca="false">"-17.2"</f>
        <v>-17.2</v>
      </c>
    </row>
    <row r="100" customFormat="false" ht="12.8" hidden="false" customHeight="false" outlineLevel="0" collapsed="false">
      <c r="A100" s="0" t="s">
        <v>2103</v>
      </c>
      <c r="B100" s="0" t="s">
        <v>9</v>
      </c>
      <c r="C100" s="0" t="str">
        <f aca="false">"350-361"</f>
        <v>350-361</v>
      </c>
      <c r="D100" s="0" t="s">
        <v>9</v>
      </c>
      <c r="E100" s="0" t="str">
        <f aca="false">"516-527"</f>
        <v>516-527</v>
      </c>
      <c r="F100" s="0" t="s">
        <v>2200</v>
      </c>
      <c r="G100" s="0" t="s">
        <v>9</v>
      </c>
      <c r="H100" s="0" t="str">
        <f aca="false">"17-28"</f>
        <v>17-28</v>
      </c>
      <c r="I100" s="0" t="s">
        <v>9</v>
      </c>
      <c r="J100" s="0" t="str">
        <f aca="false">"176-187"</f>
        <v>176-187</v>
      </c>
      <c r="K100" s="0" t="str">
        <f aca="false">"1.08"</f>
        <v>1.08</v>
      </c>
      <c r="L100" s="0" t="str">
        <f aca="false">"11.07"</f>
        <v>11.07</v>
      </c>
      <c r="M100" s="0" t="str">
        <f aca="false">"-18.7"</f>
        <v>-18.7</v>
      </c>
    </row>
    <row r="101" customFormat="false" ht="12.8" hidden="false" customHeight="false" outlineLevel="0" collapsed="false">
      <c r="A101" s="0" t="s">
        <v>2103</v>
      </c>
      <c r="B101" s="0" t="s">
        <v>9</v>
      </c>
      <c r="C101" s="0" t="str">
        <f aca="false">"351-362"</f>
        <v>351-362</v>
      </c>
      <c r="D101" s="0" t="s">
        <v>9</v>
      </c>
      <c r="E101" s="0" t="str">
        <f aca="false">"514-525"</f>
        <v>514-525</v>
      </c>
      <c r="F101" s="0" t="s">
        <v>2201</v>
      </c>
      <c r="G101" s="0" t="s">
        <v>9</v>
      </c>
      <c r="H101" s="0" t="str">
        <f aca="false">"234-245"</f>
        <v>234-245</v>
      </c>
      <c r="I101" s="0" t="s">
        <v>9</v>
      </c>
      <c r="J101" s="0" t="str">
        <f aca="false">"274-285"</f>
        <v>274-285</v>
      </c>
      <c r="K101" s="0" t="str">
        <f aca="false">"1.04"</f>
        <v>1.04</v>
      </c>
      <c r="L101" s="0" t="str">
        <f aca="false">"10.98"</f>
        <v>10.98</v>
      </c>
      <c r="M101" s="0" t="str">
        <f aca="false">"-22.3"</f>
        <v>-22.3</v>
      </c>
    </row>
    <row r="102" customFormat="false" ht="12.8" hidden="false" customHeight="false" outlineLevel="0" collapsed="false">
      <c r="A102" s="0" t="s">
        <v>2103</v>
      </c>
      <c r="B102" s="0" t="s">
        <v>9</v>
      </c>
      <c r="C102" s="0" t="str">
        <f aca="false">"356-367"</f>
        <v>356-367</v>
      </c>
      <c r="D102" s="0" t="s">
        <v>9</v>
      </c>
      <c r="E102" s="0" t="str">
        <f aca="false">"514-525"</f>
        <v>514-525</v>
      </c>
      <c r="F102" s="0" t="s">
        <v>2202</v>
      </c>
      <c r="G102" s="0" t="s">
        <v>13</v>
      </c>
      <c r="H102" s="0" t="str">
        <f aca="false">"113-124"</f>
        <v>113-124</v>
      </c>
      <c r="I102" s="0" t="s">
        <v>13</v>
      </c>
      <c r="J102" s="0" t="str">
        <f aca="false">"37-48"</f>
        <v>37-48</v>
      </c>
      <c r="K102" s="0" t="str">
        <f aca="false">"1.12"</f>
        <v>1.12</v>
      </c>
      <c r="L102" s="0" t="str">
        <f aca="false">"12.79"</f>
        <v>12.79</v>
      </c>
      <c r="M102" s="0" t="str">
        <f aca="false">"-20.4"</f>
        <v>-20.4</v>
      </c>
    </row>
    <row r="103" customFormat="false" ht="12.8" hidden="false" customHeight="false" outlineLevel="0" collapsed="false">
      <c r="A103" s="0" t="s">
        <v>2103</v>
      </c>
      <c r="B103" s="0" t="s">
        <v>9</v>
      </c>
      <c r="C103" s="0" t="str">
        <f aca="false">"354-365"</f>
        <v>354-365</v>
      </c>
      <c r="D103" s="0" t="s">
        <v>9</v>
      </c>
      <c r="E103" s="0" t="str">
        <f aca="false">"517-528"</f>
        <v>517-528</v>
      </c>
      <c r="F103" s="0" t="s">
        <v>2203</v>
      </c>
      <c r="G103" s="0" t="s">
        <v>9</v>
      </c>
      <c r="H103" s="0" t="str">
        <f aca="false">"884-895"</f>
        <v>884-895</v>
      </c>
      <c r="I103" s="0" t="s">
        <v>9</v>
      </c>
      <c r="J103" s="0" t="str">
        <f aca="false">"850-861"</f>
        <v>850-861</v>
      </c>
      <c r="K103" s="0" t="str">
        <f aca="false">"1.24"</f>
        <v>1.24</v>
      </c>
      <c r="L103" s="0" t="str">
        <f aca="false">"9.39"</f>
        <v>9.39</v>
      </c>
      <c r="M103" s="0" t="str">
        <f aca="false">"2.4"</f>
        <v>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